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Z:\COMPLIANCE REPORTS - REACH - CONFLICT MINERALS - ROHS\Compliance\Conflict Minerals\Conflict Minerals\2022\"/>
    </mc:Choice>
  </mc:AlternateContent>
  <workbookProtection workbookAlgorithmName="SHA-512" workbookHashValue="plh7fvcLCwL5OhvyRMKDImS5P3ciYDcjBWEMmcAEuHdB+4aXWAvXN7I2ckC0FtAirE40vJGTAFdzo+JeJ29NqA==" workbookSaltValue="dC+hdmO340H7nnyO5O1sDw==" workbookSpinCount="100000" lockStructure="1"/>
  <bookViews>
    <workbookView xWindow="0" yWindow="0" windowWidth="30720" windowHeight="1287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List'!$A$4:$Q$1382</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List'!$B$5:$B$1381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1382" i="5"/>
  <c r="T1382" i="5"/>
  <c r="S1382" i="5"/>
  <c r="C1381" i="5"/>
  <c r="B1381" i="5"/>
  <c r="C1380" i="5"/>
  <c r="V1380" i="5" s="1"/>
  <c r="I1380" i="5" s="1"/>
  <c r="B1380" i="5"/>
  <c r="C1379" i="5"/>
  <c r="V1379" i="5" s="1"/>
  <c r="E1379" i="5" s="1"/>
  <c r="B1379" i="5"/>
  <c r="C1378" i="5"/>
  <c r="V1378" i="5" s="1"/>
  <c r="B1378" i="5"/>
  <c r="C1377" i="5"/>
  <c r="B1377" i="5"/>
  <c r="C1376" i="5"/>
  <c r="V1376" i="5" s="1"/>
  <c r="I1376" i="5" s="1"/>
  <c r="B1376" i="5"/>
  <c r="C1375" i="5"/>
  <c r="V1375" i="5" s="1"/>
  <c r="E1375" i="5" s="1"/>
  <c r="B1375" i="5"/>
  <c r="C1374" i="5"/>
  <c r="V1374" i="5" s="1"/>
  <c r="B1374" i="5"/>
  <c r="C1373" i="5"/>
  <c r="B1373" i="5"/>
  <c r="C1372" i="5"/>
  <c r="V1372" i="5" s="1"/>
  <c r="H1372" i="5" s="1"/>
  <c r="B1372" i="5"/>
  <c r="C1371" i="5"/>
  <c r="V1371" i="5" s="1"/>
  <c r="F1371" i="5" s="1"/>
  <c r="B1371" i="5"/>
  <c r="C1370" i="5"/>
  <c r="V1370" i="5" s="1"/>
  <c r="B1370" i="5"/>
  <c r="C1369" i="5"/>
  <c r="V1369" i="5" s="1"/>
  <c r="B1369" i="5"/>
  <c r="S1369" i="5" s="1"/>
  <c r="C1368" i="5"/>
  <c r="B1368" i="5"/>
  <c r="C1367" i="5"/>
  <c r="B1367" i="5"/>
  <c r="C1366" i="5"/>
  <c r="V1366" i="5" s="1"/>
  <c r="B1366" i="5"/>
  <c r="C1365" i="5"/>
  <c r="V1365" i="5" s="1"/>
  <c r="B1365" i="5"/>
  <c r="S1365" i="5" s="1"/>
  <c r="C1364" i="5"/>
  <c r="B1364" i="5"/>
  <c r="C1363" i="5"/>
  <c r="B1363" i="5"/>
  <c r="C1362" i="5"/>
  <c r="B1362" i="5"/>
  <c r="C1361" i="5"/>
  <c r="V1361" i="5" s="1"/>
  <c r="B1361" i="5"/>
  <c r="S1361" i="5" s="1"/>
  <c r="C1360" i="5"/>
  <c r="V1360" i="5" s="1"/>
  <c r="G1360" i="5" s="1"/>
  <c r="B1360" i="5"/>
  <c r="C1359" i="5"/>
  <c r="V1359" i="5" s="1"/>
  <c r="B1359" i="5"/>
  <c r="S1359" i="5" s="1"/>
  <c r="C1358" i="5"/>
  <c r="V1358" i="5" s="1"/>
  <c r="J1358" i="5" s="1"/>
  <c r="B1358" i="5"/>
  <c r="S1358" i="5" s="1"/>
  <c r="C1357" i="5"/>
  <c r="B1357" i="5"/>
  <c r="S1357" i="5" s="1"/>
  <c r="C1356" i="5"/>
  <c r="B1356" i="5"/>
  <c r="C1355" i="5"/>
  <c r="B1355" i="5"/>
  <c r="C1354" i="5"/>
  <c r="V1354" i="5" s="1"/>
  <c r="B1354" i="5"/>
  <c r="C1353" i="5"/>
  <c r="V1353" i="5" s="1"/>
  <c r="B1353" i="5"/>
  <c r="C1352" i="5"/>
  <c r="V1352" i="5" s="1"/>
  <c r="I1352" i="5" s="1"/>
  <c r="B1352" i="5"/>
  <c r="S1352" i="5" s="1"/>
  <c r="C1351" i="5"/>
  <c r="V1351" i="5" s="1"/>
  <c r="R1351" i="5" s="1"/>
  <c r="B1351" i="5"/>
  <c r="T1351" i="5" s="1"/>
  <c r="C1350" i="5"/>
  <c r="V1350" i="5" s="1"/>
  <c r="J1350" i="5" s="1"/>
  <c r="B1350" i="5"/>
  <c r="S1350" i="5" s="1"/>
  <c r="C1349" i="5"/>
  <c r="V1349" i="5" s="1"/>
  <c r="R1349" i="5" s="1"/>
  <c r="B1349" i="5"/>
  <c r="T1349" i="5" s="1"/>
  <c r="C1348" i="5"/>
  <c r="B1348" i="5"/>
  <c r="T1348" i="5" s="1"/>
  <c r="C1347" i="5"/>
  <c r="B1347" i="5"/>
  <c r="C1346" i="5"/>
  <c r="V1346" i="5" s="1"/>
  <c r="B1346" i="5"/>
  <c r="S1346" i="5" s="1"/>
  <c r="C1345" i="5"/>
  <c r="B1345" i="5"/>
  <c r="C1344" i="5"/>
  <c r="B1344" i="5"/>
  <c r="S1344" i="5" s="1"/>
  <c r="C1343" i="5"/>
  <c r="V1343" i="5" s="1"/>
  <c r="R1343" i="5" s="1"/>
  <c r="B1343" i="5"/>
  <c r="T1343" i="5" s="1"/>
  <c r="C1342" i="5"/>
  <c r="B1342" i="5"/>
  <c r="S1342" i="5" s="1"/>
  <c r="C1341" i="5"/>
  <c r="V1341" i="5" s="1"/>
  <c r="B1341" i="5"/>
  <c r="T1341" i="5" s="1"/>
  <c r="C1340" i="5"/>
  <c r="B1340" i="5"/>
  <c r="C1339" i="5"/>
  <c r="V1339" i="5" s="1"/>
  <c r="B1339" i="5"/>
  <c r="T1339" i="5" s="1"/>
  <c r="C1338" i="5"/>
  <c r="V1338" i="5" s="1"/>
  <c r="B1338" i="5"/>
  <c r="S1338" i="5" s="1"/>
  <c r="C1337" i="5"/>
  <c r="V1337" i="5" s="1"/>
  <c r="B1337" i="5"/>
  <c r="T1337" i="5" s="1"/>
  <c r="C1336" i="5"/>
  <c r="B1336" i="5"/>
  <c r="S1336" i="5" s="1"/>
  <c r="C1335" i="5"/>
  <c r="V1335" i="5" s="1"/>
  <c r="B1335" i="5"/>
  <c r="T1335" i="5" s="1"/>
  <c r="C1334" i="5"/>
  <c r="V1334" i="5" s="1"/>
  <c r="E1334" i="5" s="1"/>
  <c r="X1334" i="5" s="1"/>
  <c r="B1334" i="5"/>
  <c r="S1334" i="5" s="1"/>
  <c r="C1333" i="5"/>
  <c r="V1333" i="5" s="1"/>
  <c r="B1333" i="5"/>
  <c r="T1333" i="5" s="1"/>
  <c r="C1332" i="5"/>
  <c r="B1332" i="5"/>
  <c r="C1331" i="5"/>
  <c r="B1331" i="5"/>
  <c r="S1331" i="5" s="1"/>
  <c r="C1330" i="5"/>
  <c r="V1330" i="5" s="1"/>
  <c r="B1330" i="5"/>
  <c r="C1329" i="5"/>
  <c r="V1329" i="5" s="1"/>
  <c r="B1329" i="5"/>
  <c r="C1328" i="5"/>
  <c r="V1328" i="5" s="1"/>
  <c r="B1328" i="5"/>
  <c r="T1328" i="5" s="1"/>
  <c r="C1327" i="5"/>
  <c r="V1327" i="5" s="1"/>
  <c r="F1327" i="5" s="1"/>
  <c r="B1327" i="5"/>
  <c r="C1326" i="5"/>
  <c r="V1326" i="5" s="1"/>
  <c r="B1326" i="5"/>
  <c r="S1326" i="5" s="1"/>
  <c r="C1325" i="5"/>
  <c r="B1325" i="5"/>
  <c r="C1324" i="5"/>
  <c r="V1324" i="5" s="1"/>
  <c r="I1324" i="5" s="1"/>
  <c r="B1324" i="5"/>
  <c r="T1324" i="5" s="1"/>
  <c r="C1323" i="5"/>
  <c r="B1323" i="5"/>
  <c r="T1323" i="5" s="1"/>
  <c r="C1322" i="5"/>
  <c r="V1322" i="5" s="1"/>
  <c r="B1322" i="5"/>
  <c r="S1322" i="5" s="1"/>
  <c r="C1321" i="5"/>
  <c r="B1321" i="5"/>
  <c r="C1320" i="5"/>
  <c r="V1320" i="5" s="1"/>
  <c r="B1320" i="5"/>
  <c r="T1320" i="5" s="1"/>
  <c r="C1319" i="5"/>
  <c r="V1319" i="5" s="1"/>
  <c r="R1319" i="5" s="1"/>
  <c r="B1319" i="5"/>
  <c r="C1318" i="5"/>
  <c r="V1318" i="5" s="1"/>
  <c r="B1318" i="5"/>
  <c r="C1317" i="5"/>
  <c r="B1317" i="5"/>
  <c r="C1316" i="5"/>
  <c r="B1316" i="5"/>
  <c r="T1316" i="5" s="1"/>
  <c r="C1315" i="5"/>
  <c r="V1315" i="5" s="1"/>
  <c r="I1315" i="5" s="1"/>
  <c r="B1315" i="5"/>
  <c r="C1314" i="5"/>
  <c r="V1314" i="5" s="1"/>
  <c r="B1314" i="5"/>
  <c r="T1314" i="5" s="1"/>
  <c r="C1313" i="5"/>
  <c r="V1313" i="5" s="1"/>
  <c r="F1313" i="5" s="1"/>
  <c r="B1313" i="5"/>
  <c r="S1313" i="5" s="1"/>
  <c r="C1312" i="5"/>
  <c r="B1312" i="5"/>
  <c r="C1311" i="5"/>
  <c r="B1311" i="5"/>
  <c r="C1310" i="5"/>
  <c r="V1310" i="5" s="1"/>
  <c r="H1310" i="5" s="1"/>
  <c r="B1310" i="5"/>
  <c r="S1310" i="5" s="1"/>
  <c r="C1309" i="5"/>
  <c r="B1309" i="5"/>
  <c r="T1309" i="5" s="1"/>
  <c r="C1308" i="5"/>
  <c r="B1308" i="5"/>
  <c r="S1308" i="5" s="1"/>
  <c r="C1307" i="5"/>
  <c r="B1307" i="5"/>
  <c r="T1307" i="5" s="1"/>
  <c r="C1306" i="5"/>
  <c r="V1306" i="5" s="1"/>
  <c r="B1306" i="5"/>
  <c r="S1306" i="5" s="1"/>
  <c r="C1305" i="5"/>
  <c r="B1305" i="5"/>
  <c r="T1305" i="5" s="1"/>
  <c r="C1304" i="5"/>
  <c r="B1304" i="5"/>
  <c r="S1304" i="5" s="1"/>
  <c r="C1303" i="5"/>
  <c r="B1303" i="5"/>
  <c r="T1303" i="5" s="1"/>
  <c r="C1302" i="5"/>
  <c r="V1302" i="5" s="1"/>
  <c r="F1302" i="5" s="1"/>
  <c r="B1302" i="5"/>
  <c r="S1302" i="5" s="1"/>
  <c r="C1301" i="5"/>
  <c r="B1301" i="5"/>
  <c r="C1300" i="5"/>
  <c r="B1300" i="5"/>
  <c r="C1299" i="5"/>
  <c r="B1299" i="5"/>
  <c r="T1299" i="5" s="1"/>
  <c r="C1298" i="5"/>
  <c r="V1298" i="5" s="1"/>
  <c r="B1298" i="5"/>
  <c r="S1298" i="5" s="1"/>
  <c r="C1297" i="5"/>
  <c r="V1297" i="5" s="1"/>
  <c r="B1297" i="5"/>
  <c r="S1297" i="5" s="1"/>
  <c r="C1296" i="5"/>
  <c r="B1296" i="5"/>
  <c r="S1296" i="5" s="1"/>
  <c r="C1295" i="5"/>
  <c r="B1295" i="5"/>
  <c r="T1295" i="5" s="1"/>
  <c r="C1294" i="5"/>
  <c r="B1294" i="5"/>
  <c r="S1294" i="5" s="1"/>
  <c r="C1293" i="5"/>
  <c r="B1293" i="5"/>
  <c r="S1293" i="5" s="1"/>
  <c r="C1292" i="5"/>
  <c r="B1292" i="5"/>
  <c r="S1292" i="5" s="1"/>
  <c r="C1291" i="5"/>
  <c r="B1291" i="5"/>
  <c r="T1291" i="5" s="1"/>
  <c r="C1290" i="5"/>
  <c r="B1290" i="5"/>
  <c r="S1290" i="5" s="1"/>
  <c r="C1289" i="5"/>
  <c r="V1289" i="5" s="1"/>
  <c r="E1289" i="5" s="1"/>
  <c r="B1289" i="5"/>
  <c r="T1289" i="5" s="1"/>
  <c r="C1288" i="5"/>
  <c r="B1288" i="5"/>
  <c r="C1287" i="5"/>
  <c r="B1287" i="5"/>
  <c r="C1286" i="5"/>
  <c r="B1286" i="5"/>
  <c r="S1286" i="5" s="1"/>
  <c r="C1285" i="5"/>
  <c r="V1285" i="5" s="1"/>
  <c r="B1285" i="5"/>
  <c r="T1285" i="5" s="1"/>
  <c r="C1284" i="5"/>
  <c r="B1284" i="5"/>
  <c r="T1284" i="5" s="1"/>
  <c r="C1283" i="5"/>
  <c r="B1283" i="5"/>
  <c r="C1282" i="5"/>
  <c r="B1282" i="5"/>
  <c r="S1282" i="5" s="1"/>
  <c r="C1281" i="5"/>
  <c r="B1281" i="5"/>
  <c r="S1281" i="5" s="1"/>
  <c r="C1280" i="5"/>
  <c r="B1280" i="5"/>
  <c r="T1280" i="5" s="1"/>
  <c r="C1279" i="5"/>
  <c r="B1279" i="5"/>
  <c r="C1278" i="5"/>
  <c r="B1278" i="5"/>
  <c r="S1278" i="5" s="1"/>
  <c r="C1277" i="5"/>
  <c r="V1277" i="5" s="1"/>
  <c r="B1277" i="5"/>
  <c r="T1277" i="5" s="1"/>
  <c r="C1276" i="5"/>
  <c r="B1276" i="5"/>
  <c r="C1275" i="5"/>
  <c r="B1275" i="5"/>
  <c r="T1275" i="5" s="1"/>
  <c r="C1274" i="5"/>
  <c r="B1274" i="5"/>
  <c r="S1274" i="5" s="1"/>
  <c r="C1273" i="5"/>
  <c r="B1273" i="5"/>
  <c r="S1273" i="5" s="1"/>
  <c r="C1272" i="5"/>
  <c r="V1272" i="5" s="1"/>
  <c r="R1272" i="5" s="1"/>
  <c r="B1272" i="5"/>
  <c r="C1271" i="5"/>
  <c r="V1271" i="5" s="1"/>
  <c r="B1271" i="5"/>
  <c r="C1270" i="5"/>
  <c r="V1270" i="5" s="1"/>
  <c r="E1270" i="5" s="1"/>
  <c r="X1270" i="5" s="1"/>
  <c r="B1270" i="5"/>
  <c r="S1270" i="5" s="1"/>
  <c r="C1269" i="5"/>
  <c r="B1269" i="5"/>
  <c r="T1269" i="5" s="1"/>
  <c r="C1268" i="5"/>
  <c r="B1268" i="5"/>
  <c r="S1268" i="5" s="1"/>
  <c r="C1267" i="5"/>
  <c r="V1267" i="5" s="1"/>
  <c r="R1267" i="5" s="1"/>
  <c r="B1267" i="5"/>
  <c r="C1266" i="5"/>
  <c r="V1266" i="5" s="1"/>
  <c r="B1266" i="5"/>
  <c r="S1266" i="5" s="1"/>
  <c r="C1265" i="5"/>
  <c r="V1265" i="5" s="1"/>
  <c r="F1265" i="5" s="1"/>
  <c r="B1265" i="5"/>
  <c r="C1264" i="5"/>
  <c r="B1264" i="5"/>
  <c r="T1264" i="5" s="1"/>
  <c r="C1263" i="5"/>
  <c r="B1263" i="5"/>
  <c r="T1263" i="5" s="1"/>
  <c r="C1262" i="5"/>
  <c r="V1262" i="5" s="1"/>
  <c r="B1262" i="5"/>
  <c r="S1262" i="5" s="1"/>
  <c r="C1261" i="5"/>
  <c r="B1261" i="5"/>
  <c r="C1260" i="5"/>
  <c r="B1260" i="5"/>
  <c r="C1259" i="5"/>
  <c r="V1259" i="5" s="1"/>
  <c r="R1259" i="5" s="1"/>
  <c r="B1259" i="5"/>
  <c r="C1258" i="5"/>
  <c r="B1258" i="5"/>
  <c r="C1257" i="5"/>
  <c r="V1257" i="5" s="1"/>
  <c r="F1257" i="5" s="1"/>
  <c r="B1257" i="5"/>
  <c r="S1257" i="5" s="1"/>
  <c r="C1256" i="5"/>
  <c r="V1256" i="5" s="1"/>
  <c r="G1256" i="5" s="1"/>
  <c r="B1256" i="5"/>
  <c r="C1255" i="5"/>
  <c r="B1255" i="5"/>
  <c r="S1255" i="5" s="1"/>
  <c r="C1254" i="5"/>
  <c r="B1254" i="5"/>
  <c r="S1254" i="5" s="1"/>
  <c r="C1253" i="5"/>
  <c r="V1253" i="5" s="1"/>
  <c r="B1253" i="5"/>
  <c r="S1253" i="5" s="1"/>
  <c r="C1252" i="5"/>
  <c r="V1252" i="5" s="1"/>
  <c r="B1252" i="5"/>
  <c r="T1252" i="5" s="1"/>
  <c r="C1251" i="5"/>
  <c r="V1251" i="5" s="1"/>
  <c r="B1251" i="5"/>
  <c r="T1251" i="5" s="1"/>
  <c r="C1250" i="5"/>
  <c r="V1250" i="5" s="1"/>
  <c r="B1250" i="5"/>
  <c r="S1250" i="5" s="1"/>
  <c r="C1249" i="5"/>
  <c r="V1249" i="5" s="1"/>
  <c r="F1249" i="5" s="1"/>
  <c r="B1249" i="5"/>
  <c r="T1249" i="5" s="1"/>
  <c r="C1248" i="5"/>
  <c r="V1248" i="5" s="1"/>
  <c r="B1248" i="5"/>
  <c r="C1247" i="5"/>
  <c r="B1247" i="5"/>
  <c r="S1247" i="5" s="1"/>
  <c r="C1246" i="5"/>
  <c r="B1246" i="5"/>
  <c r="S1246" i="5" s="1"/>
  <c r="C1245" i="5"/>
  <c r="V1245" i="5" s="1"/>
  <c r="B1245" i="5"/>
  <c r="S1245" i="5" s="1"/>
  <c r="C1244" i="5"/>
  <c r="V1244" i="5" s="1"/>
  <c r="B1244" i="5"/>
  <c r="T1244" i="5" s="1"/>
  <c r="C1243" i="5"/>
  <c r="V1243" i="5" s="1"/>
  <c r="F1243" i="5" s="1"/>
  <c r="B1243" i="5"/>
  <c r="C1242" i="5"/>
  <c r="V1242" i="5" s="1"/>
  <c r="R1242" i="5" s="1"/>
  <c r="B1242" i="5"/>
  <c r="S1242" i="5" s="1"/>
  <c r="C1241" i="5"/>
  <c r="V1241" i="5" s="1"/>
  <c r="F1241" i="5" s="1"/>
  <c r="B1241" i="5"/>
  <c r="T1241" i="5" s="1"/>
  <c r="C1240" i="5"/>
  <c r="B1240" i="5"/>
  <c r="S1240" i="5" s="1"/>
  <c r="C1239" i="5"/>
  <c r="B1239" i="5"/>
  <c r="S1239" i="5" s="1"/>
  <c r="C1238" i="5"/>
  <c r="B1238" i="5"/>
  <c r="S1238" i="5" s="1"/>
  <c r="C1237" i="5"/>
  <c r="V1237" i="5" s="1"/>
  <c r="B1237" i="5"/>
  <c r="S1237" i="5" s="1"/>
  <c r="C1236" i="5"/>
  <c r="V1236" i="5" s="1"/>
  <c r="B1236" i="5"/>
  <c r="T1236" i="5" s="1"/>
  <c r="C1235" i="5"/>
  <c r="V1235" i="5" s="1"/>
  <c r="B1235" i="5"/>
  <c r="T1235" i="5" s="1"/>
  <c r="C1234" i="5"/>
  <c r="B1234" i="5"/>
  <c r="C1233" i="5"/>
  <c r="V1233" i="5" s="1"/>
  <c r="B1233" i="5"/>
  <c r="S1233" i="5" s="1"/>
  <c r="C1232" i="5"/>
  <c r="V1232" i="5" s="1"/>
  <c r="E1232" i="5" s="1"/>
  <c r="X1232" i="5" s="1"/>
  <c r="B1232" i="5"/>
  <c r="S1232" i="5" s="1"/>
  <c r="C1231" i="5"/>
  <c r="V1231" i="5" s="1"/>
  <c r="B1231" i="5"/>
  <c r="S1231" i="5" s="1"/>
  <c r="C1230" i="5"/>
  <c r="V1230" i="5" s="1"/>
  <c r="B1230" i="5"/>
  <c r="S1230" i="5" s="1"/>
  <c r="C1229" i="5"/>
  <c r="B1229" i="5"/>
  <c r="C1228" i="5"/>
  <c r="V1228" i="5" s="1"/>
  <c r="B1228" i="5"/>
  <c r="S1228" i="5" s="1"/>
  <c r="C1227" i="5"/>
  <c r="V1227" i="5" s="1"/>
  <c r="B1227" i="5"/>
  <c r="T1227" i="5" s="1"/>
  <c r="C1226" i="5"/>
  <c r="V1226" i="5" s="1"/>
  <c r="B1226" i="5"/>
  <c r="C1225" i="5"/>
  <c r="V1225" i="5" s="1"/>
  <c r="B1225" i="5"/>
  <c r="C1224" i="5"/>
  <c r="B1224" i="5"/>
  <c r="S1224" i="5" s="1"/>
  <c r="C1223" i="5"/>
  <c r="V1223" i="5" s="1"/>
  <c r="H1223" i="5" s="1"/>
  <c r="B1223" i="5"/>
  <c r="C1222" i="5"/>
  <c r="V1222" i="5" s="1"/>
  <c r="H1222" i="5" s="1"/>
  <c r="B1222" i="5"/>
  <c r="C1221" i="5"/>
  <c r="B1221" i="5"/>
  <c r="C1220" i="5"/>
  <c r="B1220" i="5"/>
  <c r="S1220" i="5" s="1"/>
  <c r="C1219" i="5"/>
  <c r="B1219" i="5"/>
  <c r="C1218" i="5"/>
  <c r="V1218" i="5" s="1"/>
  <c r="B1218" i="5"/>
  <c r="S1218" i="5" s="1"/>
  <c r="C1217" i="5"/>
  <c r="V1217" i="5" s="1"/>
  <c r="B1217" i="5"/>
  <c r="C1216" i="5"/>
  <c r="B1216" i="5"/>
  <c r="C1215" i="5"/>
  <c r="V1215" i="5" s="1"/>
  <c r="E1215" i="5" s="1"/>
  <c r="X1215" i="5" s="1"/>
  <c r="B1215" i="5"/>
  <c r="C1214" i="5"/>
  <c r="V1214" i="5" s="1"/>
  <c r="H1214" i="5" s="1"/>
  <c r="B1214" i="5"/>
  <c r="S1214" i="5" s="1"/>
  <c r="C1213" i="5"/>
  <c r="B1213" i="5"/>
  <c r="S1213" i="5" s="1"/>
  <c r="C1212" i="5"/>
  <c r="B1212" i="5"/>
  <c r="S1212" i="5" s="1"/>
  <c r="C1211" i="5"/>
  <c r="B1211" i="5"/>
  <c r="T1211" i="5" s="1"/>
  <c r="C1210" i="5"/>
  <c r="V1210" i="5" s="1"/>
  <c r="G1210" i="5" s="1"/>
  <c r="B1210" i="5"/>
  <c r="T1210" i="5" s="1"/>
  <c r="C1209" i="5"/>
  <c r="B1209" i="5"/>
  <c r="S1209" i="5" s="1"/>
  <c r="C1208" i="5"/>
  <c r="B1208" i="5"/>
  <c r="S1208" i="5" s="1"/>
  <c r="C1207" i="5"/>
  <c r="B1207" i="5"/>
  <c r="T1207" i="5" s="1"/>
  <c r="C1206" i="5"/>
  <c r="V1206" i="5" s="1"/>
  <c r="B1206" i="5"/>
  <c r="T1206" i="5" s="1"/>
  <c r="C1205" i="5"/>
  <c r="B1205" i="5"/>
  <c r="S1205" i="5" s="1"/>
  <c r="C1204" i="5"/>
  <c r="B1204" i="5"/>
  <c r="S1204" i="5" s="1"/>
  <c r="C1203" i="5"/>
  <c r="B1203" i="5"/>
  <c r="T1203" i="5" s="1"/>
  <c r="C1202" i="5"/>
  <c r="B1202" i="5"/>
  <c r="T1202" i="5" s="1"/>
  <c r="C1201" i="5"/>
  <c r="V1201" i="5" s="1"/>
  <c r="B1201" i="5"/>
  <c r="C1200" i="5"/>
  <c r="B1200" i="5"/>
  <c r="S1200" i="5" s="1"/>
  <c r="C1199" i="5"/>
  <c r="V1199" i="5" s="1"/>
  <c r="B1199" i="5"/>
  <c r="T1199" i="5" s="1"/>
  <c r="C1198" i="5"/>
  <c r="V1198" i="5" s="1"/>
  <c r="F1198" i="5" s="1"/>
  <c r="B1198" i="5"/>
  <c r="T1198" i="5" s="1"/>
  <c r="C1197" i="5"/>
  <c r="V1197" i="5" s="1"/>
  <c r="B1197" i="5"/>
  <c r="T1197" i="5" s="1"/>
  <c r="C1196" i="5"/>
  <c r="B1196" i="5"/>
  <c r="C1195" i="5"/>
  <c r="B1195" i="5"/>
  <c r="T1195" i="5" s="1"/>
  <c r="C1194" i="5"/>
  <c r="B1194" i="5"/>
  <c r="S1194" i="5" s="1"/>
  <c r="C1193" i="5"/>
  <c r="V1193" i="5" s="1"/>
  <c r="B1193" i="5"/>
  <c r="C1192" i="5"/>
  <c r="B1192" i="5"/>
  <c r="C1191" i="5"/>
  <c r="V1191" i="5" s="1"/>
  <c r="J1191" i="5" s="1"/>
  <c r="B1191" i="5"/>
  <c r="S1191" i="5" s="1"/>
  <c r="C1190" i="5"/>
  <c r="V1190" i="5" s="1"/>
  <c r="B1190" i="5"/>
  <c r="T1190" i="5" s="1"/>
  <c r="C1189" i="5"/>
  <c r="V1189" i="5" s="1"/>
  <c r="B1189" i="5"/>
  <c r="C1188" i="5"/>
  <c r="V1188" i="5" s="1"/>
  <c r="B1188" i="5"/>
  <c r="C1187" i="5"/>
  <c r="B1187" i="5"/>
  <c r="C1186" i="5"/>
  <c r="V1186" i="5" s="1"/>
  <c r="B1186" i="5"/>
  <c r="T1186" i="5" s="1"/>
  <c r="C1185" i="5"/>
  <c r="V1185" i="5" s="1"/>
  <c r="B1185" i="5"/>
  <c r="T1185" i="5" s="1"/>
  <c r="C1184" i="5"/>
  <c r="V1184" i="5" s="1"/>
  <c r="B1184" i="5"/>
  <c r="C1183" i="5"/>
  <c r="V1183" i="5" s="1"/>
  <c r="J1183" i="5" s="1"/>
  <c r="B1183" i="5"/>
  <c r="S1183" i="5" s="1"/>
  <c r="C1182" i="5"/>
  <c r="V1182" i="5" s="1"/>
  <c r="B1182" i="5"/>
  <c r="C1181" i="5"/>
  <c r="B1181" i="5"/>
  <c r="C1180" i="5"/>
  <c r="V1180" i="5" s="1"/>
  <c r="J1180" i="5" s="1"/>
  <c r="B1180" i="5"/>
  <c r="C1179" i="5"/>
  <c r="V1179" i="5" s="1"/>
  <c r="B1179" i="5"/>
  <c r="S1179" i="5" s="1"/>
  <c r="C1178" i="5"/>
  <c r="B1178" i="5"/>
  <c r="S1178" i="5" s="1"/>
  <c r="C1177" i="5"/>
  <c r="B1177" i="5"/>
  <c r="T1177" i="5" s="1"/>
  <c r="C1176" i="5"/>
  <c r="V1176" i="5" s="1"/>
  <c r="H1176" i="5" s="1"/>
  <c r="B1176" i="5"/>
  <c r="C1175" i="5"/>
  <c r="B1175" i="5"/>
  <c r="T1175" i="5" s="1"/>
  <c r="C1174" i="5"/>
  <c r="V1174" i="5" s="1"/>
  <c r="H1174" i="5" s="1"/>
  <c r="B1174" i="5"/>
  <c r="S1174" i="5" s="1"/>
  <c r="C1173" i="5"/>
  <c r="B1173" i="5"/>
  <c r="T1173" i="5" s="1"/>
  <c r="C1172" i="5"/>
  <c r="V1172" i="5" s="1"/>
  <c r="F1172" i="5" s="1"/>
  <c r="B1172" i="5"/>
  <c r="C1171" i="5"/>
  <c r="V1171" i="5" s="1"/>
  <c r="B1171" i="5"/>
  <c r="C1170" i="5"/>
  <c r="B1170" i="5"/>
  <c r="S1170" i="5" s="1"/>
  <c r="C1169" i="5"/>
  <c r="B1169" i="5"/>
  <c r="T1169" i="5" s="1"/>
  <c r="C1168" i="5"/>
  <c r="V1168" i="5" s="1"/>
  <c r="H1168" i="5" s="1"/>
  <c r="B1168" i="5"/>
  <c r="C1167" i="5"/>
  <c r="B1167" i="5"/>
  <c r="T1167" i="5" s="1"/>
  <c r="C1166" i="5"/>
  <c r="B1166" i="5"/>
  <c r="T1166" i="5" s="1"/>
  <c r="C1165" i="5"/>
  <c r="V1165" i="5" s="1"/>
  <c r="F1165" i="5" s="1"/>
  <c r="B1165" i="5"/>
  <c r="S1165" i="5" s="1"/>
  <c r="C1164" i="5"/>
  <c r="B1164" i="5"/>
  <c r="C1163" i="5"/>
  <c r="V1163" i="5" s="1"/>
  <c r="J1163" i="5" s="1"/>
  <c r="B1163" i="5"/>
  <c r="C1162" i="5"/>
  <c r="V1162" i="5" s="1"/>
  <c r="B1162" i="5"/>
  <c r="S1162" i="5" s="1"/>
  <c r="C1161" i="5"/>
  <c r="B1161" i="5"/>
  <c r="T1161" i="5" s="1"/>
  <c r="C1160" i="5"/>
  <c r="B1160" i="5"/>
  <c r="C1159" i="5"/>
  <c r="V1159" i="5" s="1"/>
  <c r="E1159" i="5" s="1"/>
  <c r="X1159" i="5" s="1"/>
  <c r="B1159" i="5"/>
  <c r="T1159" i="5" s="1"/>
  <c r="C1158" i="5"/>
  <c r="B1158" i="5"/>
  <c r="C1157" i="5"/>
  <c r="V1157" i="5" s="1"/>
  <c r="H1157" i="5" s="1"/>
  <c r="B1157" i="5"/>
  <c r="T1157" i="5" s="1"/>
  <c r="C1156" i="5"/>
  <c r="B1156" i="5"/>
  <c r="C1155" i="5"/>
  <c r="B1155" i="5"/>
  <c r="S1155" i="5" s="1"/>
  <c r="C1154" i="5"/>
  <c r="V1154" i="5" s="1"/>
  <c r="I1154" i="5" s="1"/>
  <c r="B1154" i="5"/>
  <c r="S1154" i="5" s="1"/>
  <c r="C1153" i="5"/>
  <c r="B1153" i="5"/>
  <c r="C1152" i="5"/>
  <c r="B1152" i="5"/>
  <c r="T1152" i="5" s="1"/>
  <c r="C1151" i="5"/>
  <c r="V1151" i="5" s="1"/>
  <c r="B1151" i="5"/>
  <c r="S1151" i="5" s="1"/>
  <c r="C1150" i="5"/>
  <c r="V1150" i="5" s="1"/>
  <c r="B1150" i="5"/>
  <c r="T1150" i="5" s="1"/>
  <c r="C1149" i="5"/>
  <c r="B1149" i="5"/>
  <c r="C1148" i="5"/>
  <c r="V1148" i="5" s="1"/>
  <c r="B1148" i="5"/>
  <c r="T1148" i="5" s="1"/>
  <c r="C1147" i="5"/>
  <c r="B1147" i="5"/>
  <c r="T1147" i="5" s="1"/>
  <c r="C1146" i="5"/>
  <c r="B1146" i="5"/>
  <c r="C1145" i="5"/>
  <c r="V1145" i="5" s="1"/>
  <c r="B1145" i="5"/>
  <c r="T1145" i="5" s="1"/>
  <c r="C1144" i="5"/>
  <c r="V1144" i="5" s="1"/>
  <c r="F1144" i="5" s="1"/>
  <c r="B1144" i="5"/>
  <c r="S1144" i="5" s="1"/>
  <c r="C1143" i="5"/>
  <c r="B1143" i="5"/>
  <c r="S1143" i="5" s="1"/>
  <c r="C1142" i="5"/>
  <c r="B1142" i="5"/>
  <c r="T1142" i="5" s="1"/>
  <c r="C1141" i="5"/>
  <c r="V1141" i="5" s="1"/>
  <c r="B1141" i="5"/>
  <c r="S1141" i="5" s="1"/>
  <c r="C1140" i="5"/>
  <c r="B1140" i="5"/>
  <c r="S1140" i="5" s="1"/>
  <c r="C1139" i="5"/>
  <c r="B1139" i="5"/>
  <c r="S1139" i="5" s="1"/>
  <c r="C1138" i="5"/>
  <c r="V1138" i="5" s="1"/>
  <c r="I1138" i="5" s="1"/>
  <c r="B1138" i="5"/>
  <c r="T1138" i="5" s="1"/>
  <c r="C1137" i="5"/>
  <c r="V1137" i="5" s="1"/>
  <c r="B1137" i="5"/>
  <c r="S1137" i="5" s="1"/>
  <c r="C1136" i="5"/>
  <c r="B1136" i="5"/>
  <c r="C1135" i="5"/>
  <c r="B1135" i="5"/>
  <c r="S1135" i="5" s="1"/>
  <c r="C1134" i="5"/>
  <c r="B1134" i="5"/>
  <c r="T1134" i="5" s="1"/>
  <c r="C1133" i="5"/>
  <c r="V1133" i="5" s="1"/>
  <c r="B1133" i="5"/>
  <c r="S1133" i="5" s="1"/>
  <c r="C1132" i="5"/>
  <c r="V1132" i="5" s="1"/>
  <c r="R1132" i="5" s="1"/>
  <c r="B1132" i="5"/>
  <c r="C1131" i="5"/>
  <c r="B1131" i="5"/>
  <c r="T1131" i="5" s="1"/>
  <c r="C1130" i="5"/>
  <c r="B1130" i="5"/>
  <c r="T1130" i="5" s="1"/>
  <c r="C1129" i="5"/>
  <c r="V1129" i="5" s="1"/>
  <c r="H1129" i="5" s="1"/>
  <c r="B1129" i="5"/>
  <c r="C1128" i="5"/>
  <c r="V1128" i="5" s="1"/>
  <c r="B1128" i="5"/>
  <c r="S1128" i="5" s="1"/>
  <c r="C1127" i="5"/>
  <c r="B1127" i="5"/>
  <c r="T1127" i="5" s="1"/>
  <c r="C1126" i="5"/>
  <c r="V1126" i="5" s="1"/>
  <c r="R1126" i="5" s="1"/>
  <c r="B1126" i="5"/>
  <c r="T1126" i="5" s="1"/>
  <c r="C1125" i="5"/>
  <c r="V1125" i="5" s="1"/>
  <c r="B1125" i="5"/>
  <c r="S1125" i="5" s="1"/>
  <c r="C1124" i="5"/>
  <c r="V1124" i="5" s="1"/>
  <c r="B1124" i="5"/>
  <c r="S1124" i="5" s="1"/>
  <c r="C1123" i="5"/>
  <c r="B1123" i="5"/>
  <c r="S1123" i="5" s="1"/>
  <c r="C1122" i="5"/>
  <c r="V1122" i="5" s="1"/>
  <c r="B1122" i="5"/>
  <c r="T1122" i="5" s="1"/>
  <c r="C1121" i="5"/>
  <c r="V1121" i="5" s="1"/>
  <c r="B1121" i="5"/>
  <c r="C1120" i="5"/>
  <c r="V1120" i="5" s="1"/>
  <c r="R1120" i="5" s="1"/>
  <c r="B1120" i="5"/>
  <c r="S1120" i="5" s="1"/>
  <c r="C1119" i="5"/>
  <c r="B1119" i="5"/>
  <c r="C1118" i="5"/>
  <c r="V1118" i="5" s="1"/>
  <c r="B1118" i="5"/>
  <c r="T1118" i="5" s="1"/>
  <c r="C1117" i="5"/>
  <c r="V1117" i="5" s="1"/>
  <c r="H1117" i="5" s="1"/>
  <c r="B1117" i="5"/>
  <c r="S1117" i="5" s="1"/>
  <c r="C1116" i="5"/>
  <c r="V1116" i="5" s="1"/>
  <c r="F1116" i="5" s="1"/>
  <c r="B1116" i="5"/>
  <c r="S1116" i="5" s="1"/>
  <c r="C1115" i="5"/>
  <c r="B1115" i="5"/>
  <c r="C1114" i="5"/>
  <c r="B1114" i="5"/>
  <c r="T1114" i="5" s="1"/>
  <c r="C1113" i="5"/>
  <c r="V1113" i="5" s="1"/>
  <c r="E1113" i="5" s="1"/>
  <c r="B1113" i="5"/>
  <c r="C1112" i="5"/>
  <c r="B1112" i="5"/>
  <c r="S1112" i="5" s="1"/>
  <c r="C1111" i="5"/>
  <c r="B1111" i="5"/>
  <c r="C1110" i="5"/>
  <c r="B1110" i="5"/>
  <c r="C1109" i="5"/>
  <c r="B1109" i="5"/>
  <c r="T1109" i="5" s="1"/>
  <c r="C1108" i="5"/>
  <c r="B1108" i="5"/>
  <c r="S1108" i="5" s="1"/>
  <c r="C1107" i="5"/>
  <c r="B1107" i="5"/>
  <c r="T1107" i="5" s="1"/>
  <c r="C1106" i="5"/>
  <c r="V1106" i="5" s="1"/>
  <c r="B1106" i="5"/>
  <c r="C1105" i="5"/>
  <c r="V1105" i="5" s="1"/>
  <c r="B1105" i="5"/>
  <c r="C1104" i="5"/>
  <c r="V1104" i="5" s="1"/>
  <c r="B1104" i="5"/>
  <c r="C1103" i="5"/>
  <c r="B1103" i="5"/>
  <c r="T1103" i="5" s="1"/>
  <c r="C1102" i="5"/>
  <c r="B1102" i="5"/>
  <c r="C1101" i="5"/>
  <c r="V1101" i="5" s="1"/>
  <c r="B1101" i="5"/>
  <c r="S1101" i="5" s="1"/>
  <c r="C1100" i="5"/>
  <c r="V1100" i="5" s="1"/>
  <c r="R1100" i="5" s="1"/>
  <c r="B1100" i="5"/>
  <c r="S1100" i="5" s="1"/>
  <c r="C1099" i="5"/>
  <c r="B1099" i="5"/>
  <c r="C1098" i="5"/>
  <c r="V1098" i="5" s="1"/>
  <c r="B1098" i="5"/>
  <c r="S1098" i="5" s="1"/>
  <c r="C1097" i="5"/>
  <c r="V1097" i="5" s="1"/>
  <c r="B1097" i="5"/>
  <c r="T1097" i="5" s="1"/>
  <c r="C1096" i="5"/>
  <c r="B1096" i="5"/>
  <c r="S1096" i="5" s="1"/>
  <c r="C1095" i="5"/>
  <c r="V1095" i="5" s="1"/>
  <c r="I1095" i="5" s="1"/>
  <c r="B1095" i="5"/>
  <c r="T1095" i="5" s="1"/>
  <c r="C1094" i="5"/>
  <c r="V1094" i="5" s="1"/>
  <c r="E1094" i="5" s="1"/>
  <c r="X1094" i="5" s="1"/>
  <c r="B1094" i="5"/>
  <c r="C1093" i="5"/>
  <c r="B1093" i="5"/>
  <c r="T1093" i="5" s="1"/>
  <c r="C1092" i="5"/>
  <c r="B1092" i="5"/>
  <c r="S1092" i="5" s="1"/>
  <c r="C1091" i="5"/>
  <c r="B1091" i="5"/>
  <c r="C1090" i="5"/>
  <c r="B1090" i="5"/>
  <c r="S1090" i="5" s="1"/>
  <c r="C1089" i="5"/>
  <c r="V1089" i="5" s="1"/>
  <c r="B1089" i="5"/>
  <c r="T1089" i="5" s="1"/>
  <c r="C1088" i="5"/>
  <c r="B1088" i="5"/>
  <c r="S1088" i="5" s="1"/>
  <c r="C1087" i="5"/>
  <c r="V1087" i="5" s="1"/>
  <c r="E1087" i="5" s="1"/>
  <c r="B1087" i="5"/>
  <c r="C1086" i="5"/>
  <c r="V1086" i="5" s="1"/>
  <c r="E1086" i="5" s="1"/>
  <c r="X1086" i="5" s="1"/>
  <c r="B1086" i="5"/>
  <c r="T1086" i="5" s="1"/>
  <c r="C1085" i="5"/>
  <c r="B1085" i="5"/>
  <c r="T1085" i="5" s="1"/>
  <c r="C1084" i="5"/>
  <c r="V1084" i="5" s="1"/>
  <c r="B1084" i="5"/>
  <c r="S1084" i="5" s="1"/>
  <c r="C1083" i="5"/>
  <c r="B1083" i="5"/>
  <c r="C1082" i="5"/>
  <c r="B1082" i="5"/>
  <c r="S1082" i="5" s="1"/>
  <c r="C1081" i="5"/>
  <c r="V1081" i="5" s="1"/>
  <c r="B1081" i="5"/>
  <c r="C1080" i="5"/>
  <c r="V1080" i="5" s="1"/>
  <c r="F1080" i="5" s="1"/>
  <c r="B1080" i="5"/>
  <c r="S1080" i="5" s="1"/>
  <c r="C1079" i="5"/>
  <c r="V1079" i="5" s="1"/>
  <c r="E1079" i="5" s="1"/>
  <c r="B1079" i="5"/>
  <c r="C1078" i="5"/>
  <c r="V1078" i="5" s="1"/>
  <c r="E1078" i="5" s="1"/>
  <c r="X1078" i="5" s="1"/>
  <c r="B1078" i="5"/>
  <c r="T1078" i="5" s="1"/>
  <c r="C1077" i="5"/>
  <c r="B1077" i="5"/>
  <c r="T1077" i="5" s="1"/>
  <c r="C1076" i="5"/>
  <c r="B1076" i="5"/>
  <c r="S1076" i="5" s="1"/>
  <c r="C1075" i="5"/>
  <c r="B1075" i="5"/>
  <c r="S1075" i="5" s="1"/>
  <c r="C1074" i="5"/>
  <c r="B1074" i="5"/>
  <c r="S1074" i="5" s="1"/>
  <c r="C1073" i="5"/>
  <c r="V1073" i="5" s="1"/>
  <c r="B1073" i="5"/>
  <c r="C1072" i="5"/>
  <c r="V1072" i="5" s="1"/>
  <c r="F1072" i="5" s="1"/>
  <c r="B1072" i="5"/>
  <c r="S1072" i="5" s="1"/>
  <c r="C1071" i="5"/>
  <c r="V1071" i="5" s="1"/>
  <c r="E1071" i="5" s="1"/>
  <c r="B1071" i="5"/>
  <c r="C1070" i="5"/>
  <c r="V1070" i="5" s="1"/>
  <c r="B1070" i="5"/>
  <c r="T1070" i="5" s="1"/>
  <c r="C1069" i="5"/>
  <c r="B1069" i="5"/>
  <c r="T1069" i="5" s="1"/>
  <c r="C1068" i="5"/>
  <c r="V1068" i="5" s="1"/>
  <c r="R1068" i="5" s="1"/>
  <c r="B1068" i="5"/>
  <c r="C1067" i="5"/>
  <c r="V1067" i="5" s="1"/>
  <c r="I1067" i="5" s="1"/>
  <c r="B1067" i="5"/>
  <c r="C1066" i="5"/>
  <c r="B1066" i="5"/>
  <c r="S1066" i="5" s="1"/>
  <c r="C1065" i="5"/>
  <c r="V1065" i="5" s="1"/>
  <c r="B1065" i="5"/>
  <c r="S1065" i="5" s="1"/>
  <c r="C1064" i="5"/>
  <c r="B1064" i="5"/>
  <c r="C1063" i="5"/>
  <c r="V1063" i="5" s="1"/>
  <c r="R1063" i="5" s="1"/>
  <c r="B1063" i="5"/>
  <c r="C1062" i="5"/>
  <c r="V1062" i="5" s="1"/>
  <c r="B1062" i="5"/>
  <c r="S1062" i="5" s="1"/>
  <c r="C1061" i="5"/>
  <c r="B1061" i="5"/>
  <c r="S1061" i="5" s="1"/>
  <c r="C1060" i="5"/>
  <c r="B1060" i="5"/>
  <c r="T1060" i="5" s="1"/>
  <c r="C1059" i="5"/>
  <c r="V1059" i="5" s="1"/>
  <c r="B1059" i="5"/>
  <c r="C1058" i="5"/>
  <c r="B1058" i="5"/>
  <c r="S1058" i="5" s="1"/>
  <c r="C1057" i="5"/>
  <c r="B1057" i="5"/>
  <c r="T1057" i="5" s="1"/>
  <c r="C1056" i="5"/>
  <c r="B1056" i="5"/>
  <c r="T1056" i="5" s="1"/>
  <c r="C1055" i="5"/>
  <c r="V1055" i="5" s="1"/>
  <c r="R1055" i="5" s="1"/>
  <c r="B1055" i="5"/>
  <c r="C1054" i="5"/>
  <c r="V1054" i="5" s="1"/>
  <c r="B1054" i="5"/>
  <c r="C1053" i="5"/>
  <c r="B1053" i="5"/>
  <c r="T1053" i="5" s="1"/>
  <c r="C1052" i="5"/>
  <c r="B1052" i="5"/>
  <c r="C1051" i="5"/>
  <c r="V1051" i="5" s="1"/>
  <c r="R1051" i="5" s="1"/>
  <c r="B1051" i="5"/>
  <c r="C1050" i="5"/>
  <c r="B1050" i="5"/>
  <c r="S1050" i="5" s="1"/>
  <c r="C1049" i="5"/>
  <c r="B1049" i="5"/>
  <c r="T1049" i="5" s="1"/>
  <c r="C1048" i="5"/>
  <c r="B1048" i="5"/>
  <c r="T1048" i="5" s="1"/>
  <c r="C1047" i="5"/>
  <c r="V1047" i="5" s="1"/>
  <c r="B1047" i="5"/>
  <c r="C1046" i="5"/>
  <c r="V1046" i="5" s="1"/>
  <c r="B1046" i="5"/>
  <c r="C1045" i="5"/>
  <c r="B1045" i="5"/>
  <c r="C1044" i="5"/>
  <c r="B1044" i="5"/>
  <c r="T1044" i="5" s="1"/>
  <c r="C1043" i="5"/>
  <c r="V1043" i="5" s="1"/>
  <c r="B1043" i="5"/>
  <c r="C1042" i="5"/>
  <c r="B1042" i="5"/>
  <c r="C1041" i="5"/>
  <c r="B1041" i="5"/>
  <c r="C1040" i="5"/>
  <c r="B1040" i="5"/>
  <c r="S1040" i="5" s="1"/>
  <c r="C1039" i="5"/>
  <c r="V1039" i="5" s="1"/>
  <c r="B1039" i="5"/>
  <c r="C1038" i="5"/>
  <c r="B1038" i="5"/>
  <c r="S1038" i="5" s="1"/>
  <c r="C1037" i="5"/>
  <c r="B1037" i="5"/>
  <c r="C1036" i="5"/>
  <c r="B1036" i="5"/>
  <c r="S1036" i="5" s="1"/>
  <c r="C1035" i="5"/>
  <c r="V1035" i="5" s="1"/>
  <c r="R1035" i="5" s="1"/>
  <c r="B1035" i="5"/>
  <c r="C1034" i="5"/>
  <c r="B1034" i="5"/>
  <c r="S1034" i="5" s="1"/>
  <c r="C1033" i="5"/>
  <c r="V1033" i="5" s="1"/>
  <c r="B1033" i="5"/>
  <c r="C1032" i="5"/>
  <c r="B1032" i="5"/>
  <c r="S1032" i="5" s="1"/>
  <c r="C1031" i="5"/>
  <c r="B1031" i="5"/>
  <c r="C1030" i="5"/>
  <c r="V1030" i="5" s="1"/>
  <c r="B1030" i="5"/>
  <c r="T1030" i="5" s="1"/>
  <c r="C1029" i="5"/>
  <c r="V1029" i="5" s="1"/>
  <c r="B1029" i="5"/>
  <c r="C1028" i="5"/>
  <c r="B1028" i="5"/>
  <c r="C1027" i="5"/>
  <c r="V1027" i="5" s="1"/>
  <c r="B1027" i="5"/>
  <c r="C1026" i="5"/>
  <c r="V1026" i="5" s="1"/>
  <c r="B1026" i="5"/>
  <c r="S1026" i="5" s="1"/>
  <c r="C1025" i="5"/>
  <c r="B1025" i="5"/>
  <c r="S1025" i="5" s="1"/>
  <c r="C1024" i="5"/>
  <c r="B1024" i="5"/>
  <c r="C1023" i="5"/>
  <c r="V1023" i="5" s="1"/>
  <c r="R1023" i="5" s="1"/>
  <c r="B1023" i="5"/>
  <c r="C1022" i="5"/>
  <c r="V1022" i="5" s="1"/>
  <c r="I1022" i="5" s="1"/>
  <c r="B1022" i="5"/>
  <c r="S1022" i="5" s="1"/>
  <c r="C1021" i="5"/>
  <c r="B1021" i="5"/>
  <c r="S1021" i="5" s="1"/>
  <c r="C1020" i="5"/>
  <c r="B1020" i="5"/>
  <c r="C1019" i="5"/>
  <c r="V1019" i="5" s="1"/>
  <c r="R1019" i="5" s="1"/>
  <c r="B1019" i="5"/>
  <c r="C1018" i="5"/>
  <c r="V1018" i="5" s="1"/>
  <c r="B1018" i="5"/>
  <c r="S1018" i="5" s="1"/>
  <c r="C1017" i="5"/>
  <c r="B1017" i="5"/>
  <c r="T1017" i="5" s="1"/>
  <c r="C1016" i="5"/>
  <c r="B1016" i="5"/>
  <c r="T1016" i="5" s="1"/>
  <c r="C1015" i="5"/>
  <c r="V1015" i="5" s="1"/>
  <c r="B1015" i="5"/>
  <c r="C1014" i="5"/>
  <c r="V1014" i="5" s="1"/>
  <c r="F1014" i="5" s="1"/>
  <c r="B1014" i="5"/>
  <c r="S1014" i="5" s="1"/>
  <c r="C1013" i="5"/>
  <c r="B1013" i="5"/>
  <c r="S1013" i="5" s="1"/>
  <c r="C1012" i="5"/>
  <c r="B1012" i="5"/>
  <c r="T1012" i="5" s="1"/>
  <c r="C1011" i="5"/>
  <c r="V1011" i="5" s="1"/>
  <c r="H1011" i="5" s="1"/>
  <c r="B1011" i="5"/>
  <c r="C1010" i="5"/>
  <c r="B1010" i="5"/>
  <c r="S1010" i="5" s="1"/>
  <c r="C1009" i="5"/>
  <c r="V1009" i="5" s="1"/>
  <c r="B1009" i="5"/>
  <c r="S1009" i="5" s="1"/>
  <c r="C1008" i="5"/>
  <c r="B1008" i="5"/>
  <c r="S1008" i="5" s="1"/>
  <c r="C1007" i="5"/>
  <c r="V1007" i="5" s="1"/>
  <c r="B1007" i="5"/>
  <c r="C1006" i="5"/>
  <c r="V1006" i="5" s="1"/>
  <c r="F1006" i="5" s="1"/>
  <c r="B1006" i="5"/>
  <c r="C1005" i="5"/>
  <c r="V1005" i="5" s="1"/>
  <c r="F1005" i="5" s="1"/>
  <c r="B1005" i="5"/>
  <c r="T1005" i="5" s="1"/>
  <c r="C1004" i="5"/>
  <c r="B1004" i="5"/>
  <c r="S1004" i="5" s="1"/>
  <c r="C1003" i="5"/>
  <c r="V1003" i="5" s="1"/>
  <c r="I1003" i="5" s="1"/>
  <c r="B1003" i="5"/>
  <c r="C1002" i="5"/>
  <c r="V1002" i="5" s="1"/>
  <c r="B1002" i="5"/>
  <c r="C1001" i="5"/>
  <c r="B1001" i="5"/>
  <c r="T1001" i="5" s="1"/>
  <c r="C1000" i="5"/>
  <c r="B1000" i="5"/>
  <c r="T1000" i="5" s="1"/>
  <c r="C999" i="5"/>
  <c r="V999" i="5" s="1"/>
  <c r="J999" i="5" s="1"/>
  <c r="B999" i="5"/>
  <c r="C998" i="5"/>
  <c r="V998" i="5" s="1"/>
  <c r="B998" i="5"/>
  <c r="T998" i="5" s="1"/>
  <c r="C997" i="5"/>
  <c r="B997" i="5"/>
  <c r="T997" i="5" s="1"/>
  <c r="C996" i="5"/>
  <c r="B996" i="5"/>
  <c r="T996" i="5" s="1"/>
  <c r="C995" i="5"/>
  <c r="V995" i="5" s="1"/>
  <c r="J995" i="5" s="1"/>
  <c r="B995" i="5"/>
  <c r="C994" i="5"/>
  <c r="V994" i="5" s="1"/>
  <c r="B994" i="5"/>
  <c r="C993" i="5"/>
  <c r="B993" i="5"/>
  <c r="T993" i="5" s="1"/>
  <c r="C992" i="5"/>
  <c r="B992" i="5"/>
  <c r="C991" i="5"/>
  <c r="B991" i="5"/>
  <c r="C990" i="5"/>
  <c r="V990" i="5" s="1"/>
  <c r="B990" i="5"/>
  <c r="C989" i="5"/>
  <c r="V989" i="5" s="1"/>
  <c r="B989" i="5"/>
  <c r="S989" i="5" s="1"/>
  <c r="C988" i="5"/>
  <c r="B988" i="5"/>
  <c r="T988" i="5" s="1"/>
  <c r="C987" i="5"/>
  <c r="B987" i="5"/>
  <c r="C986" i="5"/>
  <c r="V986" i="5" s="1"/>
  <c r="I986" i="5" s="1"/>
  <c r="B986" i="5"/>
  <c r="C985" i="5"/>
  <c r="V985" i="5" s="1"/>
  <c r="B985" i="5"/>
  <c r="C984" i="5"/>
  <c r="B984" i="5"/>
  <c r="S984" i="5" s="1"/>
  <c r="C983" i="5"/>
  <c r="B983" i="5"/>
  <c r="C982" i="5"/>
  <c r="V982" i="5" s="1"/>
  <c r="I982" i="5" s="1"/>
  <c r="B982" i="5"/>
  <c r="T982" i="5" s="1"/>
  <c r="C981" i="5"/>
  <c r="V981" i="5" s="1"/>
  <c r="B981" i="5"/>
  <c r="T981" i="5" s="1"/>
  <c r="C980" i="5"/>
  <c r="B980" i="5"/>
  <c r="T980" i="5" s="1"/>
  <c r="C979" i="5"/>
  <c r="B979" i="5"/>
  <c r="C978" i="5"/>
  <c r="V978" i="5" s="1"/>
  <c r="I978" i="5" s="1"/>
  <c r="B978" i="5"/>
  <c r="C977" i="5"/>
  <c r="B977" i="5"/>
  <c r="T977" i="5" s="1"/>
  <c r="C976" i="5"/>
  <c r="B976" i="5"/>
  <c r="T976" i="5" s="1"/>
  <c r="C975" i="5"/>
  <c r="B975" i="5"/>
  <c r="C974" i="5"/>
  <c r="V974" i="5" s="1"/>
  <c r="I974" i="5" s="1"/>
  <c r="B974" i="5"/>
  <c r="T974" i="5" s="1"/>
  <c r="C973" i="5"/>
  <c r="V973" i="5" s="1"/>
  <c r="B973" i="5"/>
  <c r="C972" i="5"/>
  <c r="B972" i="5"/>
  <c r="S972" i="5" s="1"/>
  <c r="C971" i="5"/>
  <c r="B971" i="5"/>
  <c r="C970" i="5"/>
  <c r="V970" i="5" s="1"/>
  <c r="I970" i="5" s="1"/>
  <c r="B970" i="5"/>
  <c r="T970" i="5" s="1"/>
  <c r="C969" i="5"/>
  <c r="B969" i="5"/>
  <c r="C968" i="5"/>
  <c r="B968" i="5"/>
  <c r="S968" i="5" s="1"/>
  <c r="C967" i="5"/>
  <c r="B967" i="5"/>
  <c r="C966" i="5"/>
  <c r="V966" i="5" s="1"/>
  <c r="J966" i="5" s="1"/>
  <c r="B966" i="5"/>
  <c r="T966" i="5" s="1"/>
  <c r="C965" i="5"/>
  <c r="B965" i="5"/>
  <c r="C964" i="5"/>
  <c r="V964" i="5" s="1"/>
  <c r="F964" i="5" s="1"/>
  <c r="B964" i="5"/>
  <c r="C963" i="5"/>
  <c r="B963" i="5"/>
  <c r="T963" i="5" s="1"/>
  <c r="C962" i="5"/>
  <c r="V962" i="5" s="1"/>
  <c r="B962" i="5"/>
  <c r="C961" i="5"/>
  <c r="V961" i="5" s="1"/>
  <c r="B961" i="5"/>
  <c r="T961" i="5" s="1"/>
  <c r="C960" i="5"/>
  <c r="V960" i="5" s="1"/>
  <c r="B960" i="5"/>
  <c r="C959" i="5"/>
  <c r="B959" i="5"/>
  <c r="C958" i="5"/>
  <c r="V958" i="5" s="1"/>
  <c r="B958" i="5"/>
  <c r="C957" i="5"/>
  <c r="V957" i="5" s="1"/>
  <c r="B957" i="5"/>
  <c r="S957" i="5" s="1"/>
  <c r="C956" i="5"/>
  <c r="V956" i="5" s="1"/>
  <c r="B956" i="5"/>
  <c r="T956" i="5" s="1"/>
  <c r="C955" i="5"/>
  <c r="B955" i="5"/>
  <c r="T955" i="5" s="1"/>
  <c r="C954" i="5"/>
  <c r="B954" i="5"/>
  <c r="C953" i="5"/>
  <c r="B953" i="5"/>
  <c r="T953" i="5" s="1"/>
  <c r="C952" i="5"/>
  <c r="V952" i="5" s="1"/>
  <c r="E952" i="5" s="1"/>
  <c r="X952" i="5" s="1"/>
  <c r="B952" i="5"/>
  <c r="S952" i="5" s="1"/>
  <c r="C951" i="5"/>
  <c r="B951" i="5"/>
  <c r="T951" i="5" s="1"/>
  <c r="C950" i="5"/>
  <c r="V950" i="5" s="1"/>
  <c r="B950" i="5"/>
  <c r="C949" i="5"/>
  <c r="V949" i="5" s="1"/>
  <c r="E949" i="5" s="1"/>
  <c r="X949" i="5" s="1"/>
  <c r="B949" i="5"/>
  <c r="C948" i="5"/>
  <c r="B948" i="5"/>
  <c r="C947" i="5"/>
  <c r="B947" i="5"/>
  <c r="S947" i="5" s="1"/>
  <c r="C946" i="5"/>
  <c r="B946" i="5"/>
  <c r="C945" i="5"/>
  <c r="B945" i="5"/>
  <c r="T945" i="5" s="1"/>
  <c r="C944" i="5"/>
  <c r="V944" i="5" s="1"/>
  <c r="B944" i="5"/>
  <c r="S944" i="5" s="1"/>
  <c r="C943" i="5"/>
  <c r="B943" i="5"/>
  <c r="T943" i="5" s="1"/>
  <c r="C942" i="5"/>
  <c r="V942" i="5" s="1"/>
  <c r="F942" i="5" s="1"/>
  <c r="B942" i="5"/>
  <c r="C941" i="5"/>
  <c r="V941" i="5" s="1"/>
  <c r="F941" i="5" s="1"/>
  <c r="B941" i="5"/>
  <c r="S941" i="5" s="1"/>
  <c r="C940" i="5"/>
  <c r="B940" i="5"/>
  <c r="C939" i="5"/>
  <c r="B939" i="5"/>
  <c r="T939" i="5" s="1"/>
  <c r="C938" i="5"/>
  <c r="B938" i="5"/>
  <c r="C937" i="5"/>
  <c r="B937" i="5"/>
  <c r="S937" i="5" s="1"/>
  <c r="C936" i="5"/>
  <c r="V936" i="5" s="1"/>
  <c r="B936" i="5"/>
  <c r="S936" i="5" s="1"/>
  <c r="C935" i="5"/>
  <c r="B935" i="5"/>
  <c r="T935" i="5" s="1"/>
  <c r="C934" i="5"/>
  <c r="V934" i="5" s="1"/>
  <c r="B934" i="5"/>
  <c r="C933" i="5"/>
  <c r="V933" i="5" s="1"/>
  <c r="F933" i="5" s="1"/>
  <c r="B933" i="5"/>
  <c r="C932" i="5"/>
  <c r="B932" i="5"/>
  <c r="C931" i="5"/>
  <c r="B931" i="5"/>
  <c r="C930" i="5"/>
  <c r="V930" i="5" s="1"/>
  <c r="E930" i="5" s="1"/>
  <c r="X930" i="5" s="1"/>
  <c r="B930" i="5"/>
  <c r="C929" i="5"/>
  <c r="B929" i="5"/>
  <c r="C928" i="5"/>
  <c r="V928" i="5" s="1"/>
  <c r="B928" i="5"/>
  <c r="S928" i="5" s="1"/>
  <c r="C927" i="5"/>
  <c r="B927" i="5"/>
  <c r="C926" i="5"/>
  <c r="B926" i="5"/>
  <c r="C925" i="5"/>
  <c r="V925" i="5" s="1"/>
  <c r="B925" i="5"/>
  <c r="C924" i="5"/>
  <c r="V924" i="5" s="1"/>
  <c r="B924" i="5"/>
  <c r="T924" i="5" s="1"/>
  <c r="C923" i="5"/>
  <c r="B923" i="5"/>
  <c r="C922" i="5"/>
  <c r="V922" i="5" s="1"/>
  <c r="F922" i="5" s="1"/>
  <c r="B922" i="5"/>
  <c r="C921" i="5"/>
  <c r="B921" i="5"/>
  <c r="T921" i="5" s="1"/>
  <c r="C920" i="5"/>
  <c r="B920" i="5"/>
  <c r="S920" i="5" s="1"/>
  <c r="C919" i="5"/>
  <c r="B919" i="5"/>
  <c r="T919" i="5" s="1"/>
  <c r="C918" i="5"/>
  <c r="V918" i="5" s="1"/>
  <c r="B918" i="5"/>
  <c r="C917" i="5"/>
  <c r="V917" i="5" s="1"/>
  <c r="B917" i="5"/>
  <c r="C916" i="5"/>
  <c r="V916" i="5" s="1"/>
  <c r="B916" i="5"/>
  <c r="T916" i="5" s="1"/>
  <c r="C915" i="5"/>
  <c r="B915" i="5"/>
  <c r="T915" i="5" s="1"/>
  <c r="C914" i="5"/>
  <c r="V914" i="5" s="1"/>
  <c r="B914" i="5"/>
  <c r="C913" i="5"/>
  <c r="V913" i="5" s="1"/>
  <c r="B913" i="5"/>
  <c r="T913" i="5" s="1"/>
  <c r="C912" i="5"/>
  <c r="B912" i="5"/>
  <c r="C911" i="5"/>
  <c r="B911" i="5"/>
  <c r="S911" i="5" s="1"/>
  <c r="C910" i="5"/>
  <c r="V910" i="5" s="1"/>
  <c r="B910" i="5"/>
  <c r="C909" i="5"/>
  <c r="V909" i="5" s="1"/>
  <c r="B909" i="5"/>
  <c r="C908" i="5"/>
  <c r="V908" i="5" s="1"/>
  <c r="G908" i="5" s="1"/>
  <c r="B908" i="5"/>
  <c r="C907" i="5"/>
  <c r="B907" i="5"/>
  <c r="C906" i="5"/>
  <c r="V906" i="5" s="1"/>
  <c r="B906" i="5"/>
  <c r="C905" i="5"/>
  <c r="V905" i="5" s="1"/>
  <c r="B905" i="5"/>
  <c r="T905" i="5" s="1"/>
  <c r="C904" i="5"/>
  <c r="V904" i="5" s="1"/>
  <c r="B904" i="5"/>
  <c r="T904" i="5" s="1"/>
  <c r="C903" i="5"/>
  <c r="B903" i="5"/>
  <c r="C902" i="5"/>
  <c r="V902" i="5" s="1"/>
  <c r="B902" i="5"/>
  <c r="C901" i="5"/>
  <c r="V901" i="5" s="1"/>
  <c r="I901" i="5" s="1"/>
  <c r="B901" i="5"/>
  <c r="T901" i="5" s="1"/>
  <c r="C900" i="5"/>
  <c r="V900" i="5" s="1"/>
  <c r="B900" i="5"/>
  <c r="C899" i="5"/>
  <c r="B899" i="5"/>
  <c r="T899" i="5" s="1"/>
  <c r="C898" i="5"/>
  <c r="V898" i="5" s="1"/>
  <c r="F898" i="5" s="1"/>
  <c r="B898" i="5"/>
  <c r="C897" i="5"/>
  <c r="V897" i="5" s="1"/>
  <c r="I897" i="5" s="1"/>
  <c r="B897" i="5"/>
  <c r="C896" i="5"/>
  <c r="V896" i="5" s="1"/>
  <c r="F896" i="5" s="1"/>
  <c r="B896" i="5"/>
  <c r="S896" i="5" s="1"/>
  <c r="C895" i="5"/>
  <c r="B895" i="5"/>
  <c r="T895" i="5" s="1"/>
  <c r="C894" i="5"/>
  <c r="V894" i="5" s="1"/>
  <c r="J894" i="5" s="1"/>
  <c r="B894" i="5"/>
  <c r="C893" i="5"/>
  <c r="B893" i="5"/>
  <c r="T893" i="5" s="1"/>
  <c r="C892" i="5"/>
  <c r="V892" i="5" s="1"/>
  <c r="B892" i="5"/>
  <c r="T892" i="5" s="1"/>
  <c r="C891" i="5"/>
  <c r="B891" i="5"/>
  <c r="T891" i="5" s="1"/>
  <c r="C890" i="5"/>
  <c r="V890" i="5" s="1"/>
  <c r="R890" i="5" s="1"/>
  <c r="B890" i="5"/>
  <c r="C889" i="5"/>
  <c r="B889" i="5"/>
  <c r="T889" i="5" s="1"/>
  <c r="C888" i="5"/>
  <c r="B888" i="5"/>
  <c r="T888" i="5" s="1"/>
  <c r="C887" i="5"/>
  <c r="B887" i="5"/>
  <c r="C886" i="5"/>
  <c r="V886" i="5" s="1"/>
  <c r="R886" i="5" s="1"/>
  <c r="B886" i="5"/>
  <c r="C885" i="5"/>
  <c r="V885" i="5" s="1"/>
  <c r="B885" i="5"/>
  <c r="T885" i="5" s="1"/>
  <c r="C884" i="5"/>
  <c r="V884" i="5" s="1"/>
  <c r="B884" i="5"/>
  <c r="C883" i="5"/>
  <c r="B883" i="5"/>
  <c r="T883" i="5" s="1"/>
  <c r="C882" i="5"/>
  <c r="V882" i="5" s="1"/>
  <c r="F882" i="5" s="1"/>
  <c r="B882" i="5"/>
  <c r="C881" i="5"/>
  <c r="V881" i="5" s="1"/>
  <c r="G881" i="5" s="1"/>
  <c r="B881" i="5"/>
  <c r="T881" i="5" s="1"/>
  <c r="C880" i="5"/>
  <c r="B880" i="5"/>
  <c r="T880" i="5" s="1"/>
  <c r="C879" i="5"/>
  <c r="B879" i="5"/>
  <c r="C878" i="5"/>
  <c r="V878" i="5" s="1"/>
  <c r="J878" i="5" s="1"/>
  <c r="B878" i="5"/>
  <c r="C877" i="5"/>
  <c r="V877" i="5" s="1"/>
  <c r="I877" i="5" s="1"/>
  <c r="B877" i="5"/>
  <c r="T877" i="5" s="1"/>
  <c r="C876" i="5"/>
  <c r="V876" i="5" s="1"/>
  <c r="F876" i="5" s="1"/>
  <c r="B876" i="5"/>
  <c r="T876" i="5" s="1"/>
  <c r="C875" i="5"/>
  <c r="B875" i="5"/>
  <c r="T875" i="5" s="1"/>
  <c r="C874" i="5"/>
  <c r="V874" i="5" s="1"/>
  <c r="B874" i="5"/>
  <c r="C873" i="5"/>
  <c r="V873" i="5" s="1"/>
  <c r="B873" i="5"/>
  <c r="C872" i="5"/>
  <c r="V872" i="5" s="1"/>
  <c r="B872" i="5"/>
  <c r="C871" i="5"/>
  <c r="B871" i="5"/>
  <c r="S871" i="5" s="1"/>
  <c r="C870" i="5"/>
  <c r="V870" i="5" s="1"/>
  <c r="J870" i="5" s="1"/>
  <c r="B870" i="5"/>
  <c r="C869" i="5"/>
  <c r="V869" i="5" s="1"/>
  <c r="I869" i="5" s="1"/>
  <c r="B869" i="5"/>
  <c r="C868" i="5"/>
  <c r="V868" i="5" s="1"/>
  <c r="F868" i="5" s="1"/>
  <c r="B868" i="5"/>
  <c r="C867" i="5"/>
  <c r="B867" i="5"/>
  <c r="T867" i="5" s="1"/>
  <c r="C866" i="5"/>
  <c r="V866" i="5" s="1"/>
  <c r="H866" i="5" s="1"/>
  <c r="B866" i="5"/>
  <c r="C865" i="5"/>
  <c r="V865" i="5" s="1"/>
  <c r="B865" i="5"/>
  <c r="C864" i="5"/>
  <c r="V864" i="5" s="1"/>
  <c r="B864" i="5"/>
  <c r="C863" i="5"/>
  <c r="B863" i="5"/>
  <c r="S863" i="5" s="1"/>
  <c r="C862" i="5"/>
  <c r="V862" i="5" s="1"/>
  <c r="R862" i="5" s="1"/>
  <c r="B862" i="5"/>
  <c r="C861" i="5"/>
  <c r="V861" i="5" s="1"/>
  <c r="G861" i="5" s="1"/>
  <c r="B861" i="5"/>
  <c r="C860" i="5"/>
  <c r="V860" i="5" s="1"/>
  <c r="B860" i="5"/>
  <c r="T860" i="5" s="1"/>
  <c r="C859" i="5"/>
  <c r="B859" i="5"/>
  <c r="S859" i="5" s="1"/>
  <c r="C858" i="5"/>
  <c r="V858" i="5" s="1"/>
  <c r="B858" i="5"/>
  <c r="C857" i="5"/>
  <c r="V857" i="5" s="1"/>
  <c r="B857" i="5"/>
  <c r="C856" i="5"/>
  <c r="V856" i="5" s="1"/>
  <c r="B856" i="5"/>
  <c r="S856" i="5" s="1"/>
  <c r="C855" i="5"/>
  <c r="B855" i="5"/>
  <c r="C854" i="5"/>
  <c r="V854" i="5" s="1"/>
  <c r="B854" i="5"/>
  <c r="C853" i="5"/>
  <c r="V853" i="5" s="1"/>
  <c r="G853" i="5" s="1"/>
  <c r="B853" i="5"/>
  <c r="T853" i="5" s="1"/>
  <c r="C852" i="5"/>
  <c r="V852" i="5" s="1"/>
  <c r="B852" i="5"/>
  <c r="T852" i="5" s="1"/>
  <c r="C851" i="5"/>
  <c r="B851" i="5"/>
  <c r="S851" i="5" s="1"/>
  <c r="C850" i="5"/>
  <c r="V850" i="5" s="1"/>
  <c r="B850" i="5"/>
  <c r="C849" i="5"/>
  <c r="V849" i="5" s="1"/>
  <c r="H849" i="5" s="1"/>
  <c r="B849" i="5"/>
  <c r="C848" i="5"/>
  <c r="V848" i="5" s="1"/>
  <c r="B848" i="5"/>
  <c r="T848" i="5" s="1"/>
  <c r="C847" i="5"/>
  <c r="B847" i="5"/>
  <c r="C846" i="5"/>
  <c r="V846" i="5" s="1"/>
  <c r="B846" i="5"/>
  <c r="C845" i="5"/>
  <c r="V845" i="5" s="1"/>
  <c r="B845" i="5"/>
  <c r="T845" i="5" s="1"/>
  <c r="C844" i="5"/>
  <c r="B844" i="5"/>
  <c r="S844" i="5" s="1"/>
  <c r="C843" i="5"/>
  <c r="B843" i="5"/>
  <c r="C842" i="5"/>
  <c r="V842" i="5" s="1"/>
  <c r="J842" i="5" s="1"/>
  <c r="B842" i="5"/>
  <c r="C841" i="5"/>
  <c r="V841" i="5" s="1"/>
  <c r="B841" i="5"/>
  <c r="T841" i="5" s="1"/>
  <c r="C840" i="5"/>
  <c r="V840" i="5" s="1"/>
  <c r="B840" i="5"/>
  <c r="S840" i="5" s="1"/>
  <c r="C839" i="5"/>
  <c r="B839" i="5"/>
  <c r="S839" i="5" s="1"/>
  <c r="C838" i="5"/>
  <c r="V838" i="5" s="1"/>
  <c r="R838" i="5" s="1"/>
  <c r="B838" i="5"/>
  <c r="C837" i="5"/>
  <c r="V837" i="5" s="1"/>
  <c r="B837" i="5"/>
  <c r="C836" i="5"/>
  <c r="B836" i="5"/>
  <c r="T836" i="5" s="1"/>
  <c r="C835" i="5"/>
  <c r="B835" i="5"/>
  <c r="T835" i="5" s="1"/>
  <c r="C834" i="5"/>
  <c r="V834" i="5" s="1"/>
  <c r="B834" i="5"/>
  <c r="C833" i="5"/>
  <c r="V833" i="5" s="1"/>
  <c r="B833" i="5"/>
  <c r="T833" i="5" s="1"/>
  <c r="C832" i="5"/>
  <c r="B832" i="5"/>
  <c r="T832" i="5" s="1"/>
  <c r="C831" i="5"/>
  <c r="B831" i="5"/>
  <c r="S831" i="5" s="1"/>
  <c r="C830" i="5"/>
  <c r="V830" i="5" s="1"/>
  <c r="I830" i="5" s="1"/>
  <c r="B830" i="5"/>
  <c r="C829" i="5"/>
  <c r="B829" i="5"/>
  <c r="T829" i="5" s="1"/>
  <c r="C828" i="5"/>
  <c r="B828" i="5"/>
  <c r="T828" i="5" s="1"/>
  <c r="C827" i="5"/>
  <c r="B827" i="5"/>
  <c r="C826" i="5"/>
  <c r="V826" i="5" s="1"/>
  <c r="B826" i="5"/>
  <c r="C825" i="5"/>
  <c r="V825" i="5" s="1"/>
  <c r="B825" i="5"/>
  <c r="T825" i="5" s="1"/>
  <c r="C824" i="5"/>
  <c r="B824" i="5"/>
  <c r="T824" i="5" s="1"/>
  <c r="C823" i="5"/>
  <c r="B823" i="5"/>
  <c r="C822" i="5"/>
  <c r="V822" i="5" s="1"/>
  <c r="B822" i="5"/>
  <c r="C821" i="5"/>
  <c r="V821" i="5" s="1"/>
  <c r="B821" i="5"/>
  <c r="T821" i="5" s="1"/>
  <c r="C820" i="5"/>
  <c r="V820" i="5" s="1"/>
  <c r="B820" i="5"/>
  <c r="C819" i="5"/>
  <c r="B819" i="5"/>
  <c r="T819" i="5" s="1"/>
  <c r="C818" i="5"/>
  <c r="B818" i="5"/>
  <c r="C817" i="5"/>
  <c r="B817" i="5"/>
  <c r="T817" i="5" s="1"/>
  <c r="C816" i="5"/>
  <c r="V816" i="5" s="1"/>
  <c r="B816" i="5"/>
  <c r="S816" i="5" s="1"/>
  <c r="C815" i="5"/>
  <c r="B815" i="5"/>
  <c r="T815" i="5" s="1"/>
  <c r="C814" i="5"/>
  <c r="V814" i="5" s="1"/>
  <c r="B814" i="5"/>
  <c r="C813" i="5"/>
  <c r="B813" i="5"/>
  <c r="T813" i="5" s="1"/>
  <c r="C812" i="5"/>
  <c r="V812" i="5" s="1"/>
  <c r="B812" i="5"/>
  <c r="T812" i="5" s="1"/>
  <c r="C811" i="5"/>
  <c r="B811" i="5"/>
  <c r="C810" i="5"/>
  <c r="V810" i="5" s="1"/>
  <c r="J810" i="5" s="1"/>
  <c r="B810" i="5"/>
  <c r="C809" i="5"/>
  <c r="V809" i="5" s="1"/>
  <c r="B809" i="5"/>
  <c r="T809" i="5" s="1"/>
  <c r="C808" i="5"/>
  <c r="B808" i="5"/>
  <c r="T808" i="5" s="1"/>
  <c r="C807" i="5"/>
  <c r="B807" i="5"/>
  <c r="C806" i="5"/>
  <c r="V806" i="5" s="1"/>
  <c r="B806" i="5"/>
  <c r="C805" i="5"/>
  <c r="V805" i="5" s="1"/>
  <c r="B805" i="5"/>
  <c r="C804" i="5"/>
  <c r="V804" i="5" s="1"/>
  <c r="B804" i="5"/>
  <c r="T804" i="5" s="1"/>
  <c r="C803" i="5"/>
  <c r="B803" i="5"/>
  <c r="T803" i="5" s="1"/>
  <c r="C802" i="5"/>
  <c r="V802" i="5" s="1"/>
  <c r="H802" i="5" s="1"/>
  <c r="B802" i="5"/>
  <c r="C801" i="5"/>
  <c r="V801" i="5" s="1"/>
  <c r="I801" i="5" s="1"/>
  <c r="B801" i="5"/>
  <c r="C800" i="5"/>
  <c r="V800" i="5" s="1"/>
  <c r="B800" i="5"/>
  <c r="C799" i="5"/>
  <c r="B799" i="5"/>
  <c r="C798" i="5"/>
  <c r="V798" i="5" s="1"/>
  <c r="I798" i="5" s="1"/>
  <c r="B798" i="5"/>
  <c r="S798" i="5" s="1"/>
  <c r="C797" i="5"/>
  <c r="V797" i="5" s="1"/>
  <c r="B797" i="5"/>
  <c r="C796" i="5"/>
  <c r="B796" i="5"/>
  <c r="T796" i="5" s="1"/>
  <c r="C795" i="5"/>
  <c r="B795" i="5"/>
  <c r="C794" i="5"/>
  <c r="V794" i="5" s="1"/>
  <c r="B794" i="5"/>
  <c r="S794" i="5" s="1"/>
  <c r="C793" i="5"/>
  <c r="V793" i="5" s="1"/>
  <c r="B793" i="5"/>
  <c r="C792" i="5"/>
  <c r="V792" i="5" s="1"/>
  <c r="B792" i="5"/>
  <c r="C791" i="5"/>
  <c r="B791" i="5"/>
  <c r="C790" i="5"/>
  <c r="V790" i="5" s="1"/>
  <c r="R790" i="5" s="1"/>
  <c r="B790" i="5"/>
  <c r="S790" i="5" s="1"/>
  <c r="C789" i="5"/>
  <c r="V789" i="5" s="1"/>
  <c r="B789" i="5"/>
  <c r="C788" i="5"/>
  <c r="V788" i="5" s="1"/>
  <c r="B788" i="5"/>
  <c r="T788" i="5" s="1"/>
  <c r="C787" i="5"/>
  <c r="B787" i="5"/>
  <c r="C786" i="5"/>
  <c r="V786" i="5" s="1"/>
  <c r="B786" i="5"/>
  <c r="S786" i="5" s="1"/>
  <c r="C785" i="5"/>
  <c r="V785" i="5" s="1"/>
  <c r="B785" i="5"/>
  <c r="C784" i="5"/>
  <c r="V784" i="5" s="1"/>
  <c r="B784" i="5"/>
  <c r="T784" i="5" s="1"/>
  <c r="C783" i="5"/>
  <c r="V783" i="5" s="1"/>
  <c r="J783" i="5" s="1"/>
  <c r="B783" i="5"/>
  <c r="C782" i="5"/>
  <c r="V782" i="5" s="1"/>
  <c r="I782" i="5" s="1"/>
  <c r="B782" i="5"/>
  <c r="S782" i="5" s="1"/>
  <c r="C781" i="5"/>
  <c r="B781" i="5"/>
  <c r="T781" i="5" s="1"/>
  <c r="C780" i="5"/>
  <c r="V780" i="5" s="1"/>
  <c r="I780" i="5" s="1"/>
  <c r="B780" i="5"/>
  <c r="C779" i="5"/>
  <c r="V779" i="5" s="1"/>
  <c r="E779" i="5" s="1"/>
  <c r="B779" i="5"/>
  <c r="C778" i="5"/>
  <c r="V778" i="5" s="1"/>
  <c r="B778" i="5"/>
  <c r="S778" i="5" s="1"/>
  <c r="C777" i="5"/>
  <c r="B777" i="5"/>
  <c r="T777" i="5" s="1"/>
  <c r="C776" i="5"/>
  <c r="V776" i="5" s="1"/>
  <c r="B776" i="5"/>
  <c r="T776" i="5" s="1"/>
  <c r="C775" i="5"/>
  <c r="V775" i="5" s="1"/>
  <c r="B775" i="5"/>
  <c r="S775" i="5" s="1"/>
  <c r="C774" i="5"/>
  <c r="V774" i="5" s="1"/>
  <c r="B774" i="5"/>
  <c r="S774" i="5" s="1"/>
  <c r="C773" i="5"/>
  <c r="B773" i="5"/>
  <c r="T773" i="5" s="1"/>
  <c r="C772" i="5"/>
  <c r="V772" i="5" s="1"/>
  <c r="I772" i="5" s="1"/>
  <c r="B772" i="5"/>
  <c r="C771" i="5"/>
  <c r="V771" i="5" s="1"/>
  <c r="E771" i="5" s="1"/>
  <c r="B771" i="5"/>
  <c r="C770" i="5"/>
  <c r="V770" i="5" s="1"/>
  <c r="H770" i="5" s="1"/>
  <c r="B770" i="5"/>
  <c r="S770" i="5" s="1"/>
  <c r="C769" i="5"/>
  <c r="V769" i="5" s="1"/>
  <c r="B769" i="5"/>
  <c r="T769" i="5" s="1"/>
  <c r="C768" i="5"/>
  <c r="V768" i="5" s="1"/>
  <c r="B768" i="5"/>
  <c r="S768" i="5" s="1"/>
  <c r="C767" i="5"/>
  <c r="V767" i="5" s="1"/>
  <c r="J767" i="5" s="1"/>
  <c r="B767" i="5"/>
  <c r="C766" i="5"/>
  <c r="V766" i="5" s="1"/>
  <c r="B766" i="5"/>
  <c r="S766" i="5" s="1"/>
  <c r="C765" i="5"/>
  <c r="B765" i="5"/>
  <c r="T765" i="5" s="1"/>
  <c r="C764" i="5"/>
  <c r="V764" i="5" s="1"/>
  <c r="I764" i="5" s="1"/>
  <c r="B764" i="5"/>
  <c r="T764" i="5" s="1"/>
  <c r="C763" i="5"/>
  <c r="V763" i="5" s="1"/>
  <c r="E763" i="5" s="1"/>
  <c r="B763" i="5"/>
  <c r="C762" i="5"/>
  <c r="V762" i="5" s="1"/>
  <c r="E762" i="5" s="1"/>
  <c r="B762" i="5"/>
  <c r="S762" i="5" s="1"/>
  <c r="C761" i="5"/>
  <c r="V761" i="5" s="1"/>
  <c r="B761" i="5"/>
  <c r="T761" i="5" s="1"/>
  <c r="C760" i="5"/>
  <c r="V760" i="5" s="1"/>
  <c r="B760" i="5"/>
  <c r="S760" i="5" s="1"/>
  <c r="C759" i="5"/>
  <c r="V759" i="5" s="1"/>
  <c r="R759" i="5" s="1"/>
  <c r="B759" i="5"/>
  <c r="C758" i="5"/>
  <c r="V758" i="5" s="1"/>
  <c r="B758" i="5"/>
  <c r="S758" i="5" s="1"/>
  <c r="C757" i="5"/>
  <c r="B757" i="5"/>
  <c r="T757" i="5" s="1"/>
  <c r="C756" i="5"/>
  <c r="V756" i="5" s="1"/>
  <c r="I756" i="5" s="1"/>
  <c r="B756" i="5"/>
  <c r="T756" i="5" s="1"/>
  <c r="C755" i="5"/>
  <c r="V755" i="5" s="1"/>
  <c r="E755" i="5" s="1"/>
  <c r="B755" i="5"/>
  <c r="C754" i="5"/>
  <c r="V754" i="5" s="1"/>
  <c r="I754" i="5" s="1"/>
  <c r="B754" i="5"/>
  <c r="S754" i="5" s="1"/>
  <c r="C753" i="5"/>
  <c r="B753" i="5"/>
  <c r="T753" i="5" s="1"/>
  <c r="C752" i="5"/>
  <c r="V752" i="5" s="1"/>
  <c r="B752" i="5"/>
  <c r="C751" i="5"/>
  <c r="V751" i="5" s="1"/>
  <c r="B751" i="5"/>
  <c r="T751" i="5" s="1"/>
  <c r="C750" i="5"/>
  <c r="V750" i="5" s="1"/>
  <c r="B750" i="5"/>
  <c r="C749" i="5"/>
  <c r="B749" i="5"/>
  <c r="C748" i="5"/>
  <c r="V748" i="5" s="1"/>
  <c r="B748" i="5"/>
  <c r="T748" i="5" s="1"/>
  <c r="C747" i="5"/>
  <c r="B747" i="5"/>
  <c r="C746" i="5"/>
  <c r="B746" i="5"/>
  <c r="C745" i="5"/>
  <c r="B745" i="5"/>
  <c r="T745" i="5" s="1"/>
  <c r="C744" i="5"/>
  <c r="B744" i="5"/>
  <c r="C743" i="5"/>
  <c r="B743" i="5"/>
  <c r="C742" i="5"/>
  <c r="B742" i="5"/>
  <c r="C741" i="5"/>
  <c r="B741" i="5"/>
  <c r="T741" i="5" s="1"/>
  <c r="C740" i="5"/>
  <c r="V740" i="5" s="1"/>
  <c r="F740" i="5" s="1"/>
  <c r="B740" i="5"/>
  <c r="C739" i="5"/>
  <c r="B739" i="5"/>
  <c r="C738" i="5"/>
  <c r="B738" i="5"/>
  <c r="C737" i="5"/>
  <c r="B737" i="5"/>
  <c r="T737" i="5" s="1"/>
  <c r="C736" i="5"/>
  <c r="B736" i="5"/>
  <c r="S736" i="5" s="1"/>
  <c r="C735" i="5"/>
  <c r="B735" i="5"/>
  <c r="C734" i="5"/>
  <c r="B734" i="5"/>
  <c r="C733" i="5"/>
  <c r="B733" i="5"/>
  <c r="C732" i="5"/>
  <c r="B732" i="5"/>
  <c r="S732" i="5" s="1"/>
  <c r="C731" i="5"/>
  <c r="B731" i="5"/>
  <c r="C730" i="5"/>
  <c r="B730" i="5"/>
  <c r="T730" i="5" s="1"/>
  <c r="C729" i="5"/>
  <c r="B729" i="5"/>
  <c r="C728" i="5"/>
  <c r="B728" i="5"/>
  <c r="C727" i="5"/>
  <c r="B727" i="5"/>
  <c r="T727" i="5" s="1"/>
  <c r="C726" i="5"/>
  <c r="B726" i="5"/>
  <c r="C725" i="5"/>
  <c r="V725" i="5" s="1"/>
  <c r="B725" i="5"/>
  <c r="C724" i="5"/>
  <c r="V724" i="5" s="1"/>
  <c r="B724" i="5"/>
  <c r="C723" i="5"/>
  <c r="B723" i="5"/>
  <c r="C722" i="5"/>
  <c r="B722" i="5"/>
  <c r="C721" i="5"/>
  <c r="V721" i="5" s="1"/>
  <c r="B721" i="5"/>
  <c r="C720" i="5"/>
  <c r="V720" i="5" s="1"/>
  <c r="B720" i="5"/>
  <c r="T720" i="5" s="1"/>
  <c r="C719" i="5"/>
  <c r="B719" i="5"/>
  <c r="C718" i="5"/>
  <c r="B718" i="5"/>
  <c r="S718" i="5" s="1"/>
  <c r="C717" i="5"/>
  <c r="V717" i="5" s="1"/>
  <c r="B717" i="5"/>
  <c r="C716" i="5"/>
  <c r="B716" i="5"/>
  <c r="T716" i="5" s="1"/>
  <c r="C715" i="5"/>
  <c r="V715" i="5" s="1"/>
  <c r="E715" i="5" s="1"/>
  <c r="B715" i="5"/>
  <c r="C714" i="5"/>
  <c r="B714" i="5"/>
  <c r="C713" i="5"/>
  <c r="V713" i="5" s="1"/>
  <c r="E713" i="5" s="1"/>
  <c r="B713" i="5"/>
  <c r="C712" i="5"/>
  <c r="B712" i="5"/>
  <c r="T712" i="5" s="1"/>
  <c r="C711" i="5"/>
  <c r="B711" i="5"/>
  <c r="T711" i="5" s="1"/>
  <c r="C710" i="5"/>
  <c r="B710" i="5"/>
  <c r="S710" i="5" s="1"/>
  <c r="C709" i="5"/>
  <c r="B709" i="5"/>
  <c r="T709" i="5" s="1"/>
  <c r="C708" i="5"/>
  <c r="B708" i="5"/>
  <c r="C707" i="5"/>
  <c r="V707" i="5" s="1"/>
  <c r="B707" i="5"/>
  <c r="T707" i="5" s="1"/>
  <c r="C706" i="5"/>
  <c r="B706" i="5"/>
  <c r="C705" i="5"/>
  <c r="V705" i="5" s="1"/>
  <c r="B705" i="5"/>
  <c r="C704" i="5"/>
  <c r="V704" i="5" s="1"/>
  <c r="B704" i="5"/>
  <c r="C703" i="5"/>
  <c r="B703" i="5"/>
  <c r="S703" i="5" s="1"/>
  <c r="C702" i="5"/>
  <c r="B702" i="5"/>
  <c r="T702" i="5" s="1"/>
  <c r="C701" i="5"/>
  <c r="V701" i="5" s="1"/>
  <c r="R701" i="5" s="1"/>
  <c r="B701" i="5"/>
  <c r="T701" i="5" s="1"/>
  <c r="C700" i="5"/>
  <c r="V700" i="5" s="1"/>
  <c r="B700" i="5"/>
  <c r="T700" i="5" s="1"/>
  <c r="C699" i="5"/>
  <c r="B699" i="5"/>
  <c r="T699" i="5" s="1"/>
  <c r="C698" i="5"/>
  <c r="B698" i="5"/>
  <c r="T698" i="5" s="1"/>
  <c r="C697" i="5"/>
  <c r="V697" i="5" s="1"/>
  <c r="B697" i="5"/>
  <c r="C696" i="5"/>
  <c r="B696" i="5"/>
  <c r="C695" i="5"/>
  <c r="V695" i="5" s="1"/>
  <c r="B695" i="5"/>
  <c r="T695" i="5" s="1"/>
  <c r="C694" i="5"/>
  <c r="B694" i="5"/>
  <c r="C693" i="5"/>
  <c r="V693" i="5" s="1"/>
  <c r="R693" i="5" s="1"/>
  <c r="B693" i="5"/>
  <c r="T693" i="5" s="1"/>
  <c r="C692" i="5"/>
  <c r="V692" i="5" s="1"/>
  <c r="F692" i="5" s="1"/>
  <c r="B692" i="5"/>
  <c r="C691" i="5"/>
  <c r="B691" i="5"/>
  <c r="S691" i="5" s="1"/>
  <c r="C690" i="5"/>
  <c r="V690" i="5" s="1"/>
  <c r="B690" i="5"/>
  <c r="C689" i="5"/>
  <c r="B689" i="5"/>
  <c r="T689" i="5" s="1"/>
  <c r="C688" i="5"/>
  <c r="B688" i="5"/>
  <c r="C687" i="5"/>
  <c r="B687" i="5"/>
  <c r="T687" i="5" s="1"/>
  <c r="C686" i="5"/>
  <c r="B686" i="5"/>
  <c r="T686" i="5" s="1"/>
  <c r="C685" i="5"/>
  <c r="V685" i="5" s="1"/>
  <c r="B685" i="5"/>
  <c r="S685" i="5" s="1"/>
  <c r="C684" i="5"/>
  <c r="B684" i="5"/>
  <c r="T684" i="5" s="1"/>
  <c r="C683" i="5"/>
  <c r="V683" i="5" s="1"/>
  <c r="G683" i="5" s="1"/>
  <c r="B683" i="5"/>
  <c r="T683" i="5" s="1"/>
  <c r="C682" i="5"/>
  <c r="V682" i="5" s="1"/>
  <c r="F682" i="5" s="1"/>
  <c r="B682" i="5"/>
  <c r="C681" i="5"/>
  <c r="B681" i="5"/>
  <c r="S681" i="5" s="1"/>
  <c r="C680" i="5"/>
  <c r="B680" i="5"/>
  <c r="C679" i="5"/>
  <c r="V679" i="5" s="1"/>
  <c r="B679" i="5"/>
  <c r="C678" i="5"/>
  <c r="B678" i="5"/>
  <c r="S678" i="5" s="1"/>
  <c r="C677" i="5"/>
  <c r="B677" i="5"/>
  <c r="S677" i="5" s="1"/>
  <c r="C676" i="5"/>
  <c r="B676" i="5"/>
  <c r="C675" i="5"/>
  <c r="V675" i="5" s="1"/>
  <c r="B675" i="5"/>
  <c r="T675" i="5" s="1"/>
  <c r="C674" i="5"/>
  <c r="V674" i="5" s="1"/>
  <c r="F674" i="5" s="1"/>
  <c r="B674" i="5"/>
  <c r="S674" i="5" s="1"/>
  <c r="C673" i="5"/>
  <c r="B673" i="5"/>
  <c r="S673" i="5" s="1"/>
  <c r="C672" i="5"/>
  <c r="B672" i="5"/>
  <c r="S672" i="5" s="1"/>
  <c r="C671" i="5"/>
  <c r="V671" i="5" s="1"/>
  <c r="B671" i="5"/>
  <c r="T671" i="5" s="1"/>
  <c r="C670" i="5"/>
  <c r="V670" i="5" s="1"/>
  <c r="F670" i="5" s="1"/>
  <c r="B670" i="5"/>
  <c r="C669" i="5"/>
  <c r="B669" i="5"/>
  <c r="S669" i="5" s="1"/>
  <c r="C668" i="5"/>
  <c r="B668" i="5"/>
  <c r="S668" i="5" s="1"/>
  <c r="C667" i="5"/>
  <c r="V667" i="5" s="1"/>
  <c r="B667" i="5"/>
  <c r="C666" i="5"/>
  <c r="V666" i="5" s="1"/>
  <c r="F666" i="5" s="1"/>
  <c r="B666" i="5"/>
  <c r="S666" i="5" s="1"/>
  <c r="C665" i="5"/>
  <c r="B665" i="5"/>
  <c r="S665" i="5" s="1"/>
  <c r="C664" i="5"/>
  <c r="B664" i="5"/>
  <c r="T664" i="5" s="1"/>
  <c r="C663" i="5"/>
  <c r="B663" i="5"/>
  <c r="C662" i="5"/>
  <c r="V662" i="5" s="1"/>
  <c r="F662" i="5" s="1"/>
  <c r="B662" i="5"/>
  <c r="S662" i="5" s="1"/>
  <c r="C661" i="5"/>
  <c r="B661" i="5"/>
  <c r="S661" i="5" s="1"/>
  <c r="C660" i="5"/>
  <c r="B660" i="5"/>
  <c r="C659" i="5"/>
  <c r="B659" i="5"/>
  <c r="C658" i="5"/>
  <c r="V658" i="5" s="1"/>
  <c r="F658" i="5" s="1"/>
  <c r="B658" i="5"/>
  <c r="S658" i="5" s="1"/>
  <c r="C657" i="5"/>
  <c r="B657" i="5"/>
  <c r="S657" i="5" s="1"/>
  <c r="C656" i="5"/>
  <c r="B656" i="5"/>
  <c r="C655" i="5"/>
  <c r="V655" i="5" s="1"/>
  <c r="B655" i="5"/>
  <c r="T655" i="5" s="1"/>
  <c r="C654" i="5"/>
  <c r="V654" i="5" s="1"/>
  <c r="F654" i="5" s="1"/>
  <c r="B654" i="5"/>
  <c r="C653" i="5"/>
  <c r="B653" i="5"/>
  <c r="S653" i="5" s="1"/>
  <c r="C652" i="5"/>
  <c r="B652" i="5"/>
  <c r="C651" i="5"/>
  <c r="B651" i="5"/>
  <c r="T651" i="5" s="1"/>
  <c r="C650" i="5"/>
  <c r="V650" i="5" s="1"/>
  <c r="B650" i="5"/>
  <c r="S650" i="5" s="1"/>
  <c r="C649" i="5"/>
  <c r="B649" i="5"/>
  <c r="S649" i="5" s="1"/>
  <c r="C648" i="5"/>
  <c r="B648" i="5"/>
  <c r="C647" i="5"/>
  <c r="B647" i="5"/>
  <c r="T647" i="5" s="1"/>
  <c r="C646" i="5"/>
  <c r="V646" i="5" s="1"/>
  <c r="B646" i="5"/>
  <c r="S646" i="5" s="1"/>
  <c r="C645" i="5"/>
  <c r="V645" i="5" s="1"/>
  <c r="R645" i="5" s="1"/>
  <c r="B645" i="5"/>
  <c r="S645" i="5" s="1"/>
  <c r="C644" i="5"/>
  <c r="B644" i="5"/>
  <c r="S644" i="5" s="1"/>
  <c r="C643" i="5"/>
  <c r="V643" i="5" s="1"/>
  <c r="B643" i="5"/>
  <c r="T643" i="5" s="1"/>
  <c r="C642" i="5"/>
  <c r="V642" i="5" s="1"/>
  <c r="H642" i="5" s="1"/>
  <c r="B642" i="5"/>
  <c r="C641" i="5"/>
  <c r="V641" i="5" s="1"/>
  <c r="R641" i="5" s="1"/>
  <c r="B641" i="5"/>
  <c r="S641" i="5" s="1"/>
  <c r="C640" i="5"/>
  <c r="B640" i="5"/>
  <c r="S640" i="5" s="1"/>
  <c r="C639" i="5"/>
  <c r="V639" i="5" s="1"/>
  <c r="H639" i="5" s="1"/>
  <c r="B639" i="5"/>
  <c r="T639" i="5" s="1"/>
  <c r="C638" i="5"/>
  <c r="B638" i="5"/>
  <c r="S638" i="5" s="1"/>
  <c r="C637" i="5"/>
  <c r="B637" i="5"/>
  <c r="S637" i="5" s="1"/>
  <c r="C636" i="5"/>
  <c r="B636" i="5"/>
  <c r="T636" i="5" s="1"/>
  <c r="C635" i="5"/>
  <c r="V635" i="5" s="1"/>
  <c r="J635" i="5" s="1"/>
  <c r="B635" i="5"/>
  <c r="T635" i="5" s="1"/>
  <c r="C634" i="5"/>
  <c r="V634" i="5" s="1"/>
  <c r="B634" i="5"/>
  <c r="T634" i="5" s="1"/>
  <c r="C633" i="5"/>
  <c r="V633" i="5" s="1"/>
  <c r="B633" i="5"/>
  <c r="S633" i="5" s="1"/>
  <c r="C632" i="5"/>
  <c r="B632" i="5"/>
  <c r="T632" i="5" s="1"/>
  <c r="C631" i="5"/>
  <c r="B631" i="5"/>
  <c r="T631" i="5" s="1"/>
  <c r="C630" i="5"/>
  <c r="V630" i="5" s="1"/>
  <c r="B630" i="5"/>
  <c r="C629" i="5"/>
  <c r="V629" i="5" s="1"/>
  <c r="B629" i="5"/>
  <c r="T629" i="5" s="1"/>
  <c r="C628" i="5"/>
  <c r="V628" i="5" s="1"/>
  <c r="B628" i="5"/>
  <c r="C627" i="5"/>
  <c r="B627" i="5"/>
  <c r="T627" i="5" s="1"/>
  <c r="C626" i="5"/>
  <c r="V626" i="5" s="1"/>
  <c r="B626" i="5"/>
  <c r="T626" i="5" s="1"/>
  <c r="C625" i="5"/>
  <c r="V625" i="5" s="1"/>
  <c r="B625" i="5"/>
  <c r="T625" i="5" s="1"/>
  <c r="C624" i="5"/>
  <c r="B624" i="5"/>
  <c r="S624" i="5" s="1"/>
  <c r="C623" i="5"/>
  <c r="B623" i="5"/>
  <c r="T623" i="5" s="1"/>
  <c r="C622" i="5"/>
  <c r="B622" i="5"/>
  <c r="S622" i="5" s="1"/>
  <c r="C621" i="5"/>
  <c r="B621" i="5"/>
  <c r="C620" i="5"/>
  <c r="B620" i="5"/>
  <c r="C619" i="5"/>
  <c r="B619" i="5"/>
  <c r="T619" i="5" s="1"/>
  <c r="C618" i="5"/>
  <c r="V618" i="5" s="1"/>
  <c r="B618" i="5"/>
  <c r="S618" i="5" s="1"/>
  <c r="C617" i="5"/>
  <c r="B617" i="5"/>
  <c r="C616" i="5"/>
  <c r="B616" i="5"/>
  <c r="T616" i="5" s="1"/>
  <c r="C615" i="5"/>
  <c r="B615" i="5"/>
  <c r="C614" i="5"/>
  <c r="B614" i="5"/>
  <c r="T614" i="5" s="1"/>
  <c r="C613" i="5"/>
  <c r="B613" i="5"/>
  <c r="T613" i="5" s="1"/>
  <c r="C612" i="5"/>
  <c r="B612" i="5"/>
  <c r="T612" i="5" s="1"/>
  <c r="C611" i="5"/>
  <c r="B611" i="5"/>
  <c r="T611" i="5" s="1"/>
  <c r="C610" i="5"/>
  <c r="B610" i="5"/>
  <c r="C609" i="5"/>
  <c r="V609" i="5" s="1"/>
  <c r="B609" i="5"/>
  <c r="C608" i="5"/>
  <c r="B608" i="5"/>
  <c r="C607" i="5"/>
  <c r="B607" i="5"/>
  <c r="C606" i="5"/>
  <c r="V606" i="5" s="1"/>
  <c r="B606" i="5"/>
  <c r="T606" i="5" s="1"/>
  <c r="C605" i="5"/>
  <c r="V605" i="5" s="1"/>
  <c r="B605" i="5"/>
  <c r="T605" i="5" s="1"/>
  <c r="C604" i="5"/>
  <c r="B604" i="5"/>
  <c r="C603" i="5"/>
  <c r="B603" i="5"/>
  <c r="C602" i="5"/>
  <c r="B602" i="5"/>
  <c r="T602" i="5" s="1"/>
  <c r="C601" i="5"/>
  <c r="B601" i="5"/>
  <c r="C600" i="5"/>
  <c r="B600" i="5"/>
  <c r="C599" i="5"/>
  <c r="B599" i="5"/>
  <c r="C598" i="5"/>
  <c r="V598" i="5" s="1"/>
  <c r="B598" i="5"/>
  <c r="T598" i="5" s="1"/>
  <c r="C597" i="5"/>
  <c r="V597" i="5" s="1"/>
  <c r="F597" i="5" s="1"/>
  <c r="B597" i="5"/>
  <c r="C596" i="5"/>
  <c r="B596" i="5"/>
  <c r="T596" i="5" s="1"/>
  <c r="C595" i="5"/>
  <c r="B595" i="5"/>
  <c r="C594" i="5"/>
  <c r="V594" i="5" s="1"/>
  <c r="B594" i="5"/>
  <c r="T594" i="5" s="1"/>
  <c r="C593" i="5"/>
  <c r="B593" i="5"/>
  <c r="T593" i="5" s="1"/>
  <c r="C592" i="5"/>
  <c r="B592" i="5"/>
  <c r="C591" i="5"/>
  <c r="B591" i="5"/>
  <c r="C590" i="5"/>
  <c r="B590" i="5"/>
  <c r="C589" i="5"/>
  <c r="B589" i="5"/>
  <c r="T589" i="5" s="1"/>
  <c r="C588" i="5"/>
  <c r="B588" i="5"/>
  <c r="T588" i="5" s="1"/>
  <c r="C587" i="5"/>
  <c r="B587" i="5"/>
  <c r="C586" i="5"/>
  <c r="V586" i="5" s="1"/>
  <c r="E586" i="5" s="1"/>
  <c r="X586" i="5" s="1"/>
  <c r="B586" i="5"/>
  <c r="T586" i="5" s="1"/>
  <c r="C585" i="5"/>
  <c r="B585" i="5"/>
  <c r="C584" i="5"/>
  <c r="B584" i="5"/>
  <c r="T584" i="5" s="1"/>
  <c r="C583" i="5"/>
  <c r="B583" i="5"/>
  <c r="C582" i="5"/>
  <c r="V582" i="5" s="1"/>
  <c r="B582" i="5"/>
  <c r="C581" i="5"/>
  <c r="V581" i="5" s="1"/>
  <c r="G581" i="5" s="1"/>
  <c r="B581" i="5"/>
  <c r="S581" i="5" s="1"/>
  <c r="C580" i="5"/>
  <c r="B580" i="5"/>
  <c r="C579" i="5"/>
  <c r="B579" i="5"/>
  <c r="C578" i="5"/>
  <c r="B578" i="5"/>
  <c r="T578" i="5" s="1"/>
  <c r="C577" i="5"/>
  <c r="B577" i="5"/>
  <c r="T577" i="5" s="1"/>
  <c r="C576" i="5"/>
  <c r="B576" i="5"/>
  <c r="T576" i="5" s="1"/>
  <c r="C575" i="5"/>
  <c r="B575" i="5"/>
  <c r="C574" i="5"/>
  <c r="B574" i="5"/>
  <c r="T574" i="5" s="1"/>
  <c r="C573" i="5"/>
  <c r="B573" i="5"/>
  <c r="T573" i="5" s="1"/>
  <c r="C572" i="5"/>
  <c r="B572" i="5"/>
  <c r="T572" i="5" s="1"/>
  <c r="C571" i="5"/>
  <c r="B571" i="5"/>
  <c r="C570" i="5"/>
  <c r="B570" i="5"/>
  <c r="C569" i="5"/>
  <c r="V569" i="5" s="1"/>
  <c r="F569" i="5" s="1"/>
  <c r="B569" i="5"/>
  <c r="C568" i="5"/>
  <c r="B568" i="5"/>
  <c r="C567" i="5"/>
  <c r="B567" i="5"/>
  <c r="C566" i="5"/>
  <c r="V566" i="5" s="1"/>
  <c r="I566" i="5" s="1"/>
  <c r="B566" i="5"/>
  <c r="T566" i="5" s="1"/>
  <c r="C565" i="5"/>
  <c r="B565" i="5"/>
  <c r="T565" i="5" s="1"/>
  <c r="C564" i="5"/>
  <c r="B564" i="5"/>
  <c r="C563" i="5"/>
  <c r="B563" i="5"/>
  <c r="C562" i="5"/>
  <c r="V562" i="5" s="1"/>
  <c r="E562" i="5" s="1"/>
  <c r="X562" i="5" s="1"/>
  <c r="B562" i="5"/>
  <c r="T562" i="5" s="1"/>
  <c r="C561" i="5"/>
  <c r="B561" i="5"/>
  <c r="S561" i="5" s="1"/>
  <c r="C560" i="5"/>
  <c r="B560" i="5"/>
  <c r="C559" i="5"/>
  <c r="B559" i="5"/>
  <c r="C558" i="5"/>
  <c r="B558" i="5"/>
  <c r="T558" i="5" s="1"/>
  <c r="C557" i="5"/>
  <c r="B557" i="5"/>
  <c r="T557" i="5" s="1"/>
  <c r="C556" i="5"/>
  <c r="B556" i="5"/>
  <c r="C555" i="5"/>
  <c r="B555" i="5"/>
  <c r="C554" i="5"/>
  <c r="V554" i="5" s="1"/>
  <c r="B554" i="5"/>
  <c r="T554" i="5" s="1"/>
  <c r="C553" i="5"/>
  <c r="V553" i="5" s="1"/>
  <c r="B553" i="5"/>
  <c r="C552" i="5"/>
  <c r="B552" i="5"/>
  <c r="S552" i="5" s="1"/>
  <c r="C551" i="5"/>
  <c r="B551" i="5"/>
  <c r="C550" i="5"/>
  <c r="B550" i="5"/>
  <c r="T550" i="5" s="1"/>
  <c r="C549" i="5"/>
  <c r="B549" i="5"/>
  <c r="S549" i="5" s="1"/>
  <c r="C548" i="5"/>
  <c r="B548" i="5"/>
  <c r="T548" i="5" s="1"/>
  <c r="C547" i="5"/>
  <c r="B547" i="5"/>
  <c r="C546" i="5"/>
  <c r="B546" i="5"/>
  <c r="C545" i="5"/>
  <c r="B545" i="5"/>
  <c r="T545" i="5" s="1"/>
  <c r="C544" i="5"/>
  <c r="B544" i="5"/>
  <c r="C543" i="5"/>
  <c r="B543" i="5"/>
  <c r="C542" i="5"/>
  <c r="B542" i="5"/>
  <c r="T542" i="5" s="1"/>
  <c r="C541" i="5"/>
  <c r="B541" i="5"/>
  <c r="S541" i="5" s="1"/>
  <c r="C540" i="5"/>
  <c r="B540" i="5"/>
  <c r="T540" i="5" s="1"/>
  <c r="C539" i="5"/>
  <c r="B539" i="5"/>
  <c r="C538" i="5"/>
  <c r="V538" i="5" s="1"/>
  <c r="H538" i="5" s="1"/>
  <c r="B538" i="5"/>
  <c r="C537" i="5"/>
  <c r="B537" i="5"/>
  <c r="C536" i="5"/>
  <c r="B536" i="5"/>
  <c r="T536" i="5" s="1"/>
  <c r="C535" i="5"/>
  <c r="B535" i="5"/>
  <c r="C534" i="5"/>
  <c r="B534" i="5"/>
  <c r="T534" i="5" s="1"/>
  <c r="C533" i="5"/>
  <c r="V533" i="5" s="1"/>
  <c r="F533" i="5" s="1"/>
  <c r="B533" i="5"/>
  <c r="T533" i="5" s="1"/>
  <c r="C532" i="5"/>
  <c r="B532" i="5"/>
  <c r="C531" i="5"/>
  <c r="B531" i="5"/>
  <c r="C530" i="5"/>
  <c r="B530" i="5"/>
  <c r="T530" i="5" s="1"/>
  <c r="C529" i="5"/>
  <c r="B529" i="5"/>
  <c r="C528" i="5"/>
  <c r="B528" i="5"/>
  <c r="C527" i="5"/>
  <c r="B527" i="5"/>
  <c r="C526" i="5"/>
  <c r="V526" i="5" s="1"/>
  <c r="B526" i="5"/>
  <c r="T526" i="5" s="1"/>
  <c r="C525" i="5"/>
  <c r="V525" i="5" s="1"/>
  <c r="B525" i="5"/>
  <c r="S525" i="5" s="1"/>
  <c r="C524" i="5"/>
  <c r="B524" i="5"/>
  <c r="C523" i="5"/>
  <c r="B523" i="5"/>
  <c r="C522" i="5"/>
  <c r="B522" i="5"/>
  <c r="T522" i="5" s="1"/>
  <c r="C521" i="5"/>
  <c r="B521" i="5"/>
  <c r="C520" i="5"/>
  <c r="B520" i="5"/>
  <c r="C519" i="5"/>
  <c r="B519" i="5"/>
  <c r="C518" i="5"/>
  <c r="B518" i="5"/>
  <c r="T518" i="5" s="1"/>
  <c r="C517" i="5"/>
  <c r="B517" i="5"/>
  <c r="T517" i="5" s="1"/>
  <c r="C516" i="5"/>
  <c r="B516" i="5"/>
  <c r="C515" i="5"/>
  <c r="B515" i="5"/>
  <c r="C514" i="5"/>
  <c r="V514" i="5" s="1"/>
  <c r="B514" i="5"/>
  <c r="T514" i="5" s="1"/>
  <c r="C513" i="5"/>
  <c r="V513" i="5" s="1"/>
  <c r="G513" i="5" s="1"/>
  <c r="B513" i="5"/>
  <c r="T513" i="5" s="1"/>
  <c r="C512" i="5"/>
  <c r="B512" i="5"/>
  <c r="C511" i="5"/>
  <c r="B511" i="5"/>
  <c r="C510" i="5"/>
  <c r="B510" i="5"/>
  <c r="T510" i="5" s="1"/>
  <c r="C509" i="5"/>
  <c r="B509" i="5"/>
  <c r="T509" i="5" s="1"/>
  <c r="C508" i="5"/>
  <c r="B508" i="5"/>
  <c r="T508" i="5" s="1"/>
  <c r="C507" i="5"/>
  <c r="B507" i="5"/>
  <c r="C506" i="5"/>
  <c r="V506" i="5" s="1"/>
  <c r="B506" i="5"/>
  <c r="T506" i="5" s="1"/>
  <c r="C505" i="5"/>
  <c r="V505" i="5" s="1"/>
  <c r="B505" i="5"/>
  <c r="C504" i="5"/>
  <c r="B504" i="5"/>
  <c r="T504" i="5" s="1"/>
  <c r="C503" i="5"/>
  <c r="B503" i="5"/>
  <c r="C502" i="5"/>
  <c r="V502" i="5" s="1"/>
  <c r="B502" i="5"/>
  <c r="T502" i="5" s="1"/>
  <c r="C501" i="5"/>
  <c r="B501" i="5"/>
  <c r="S501" i="5" s="1"/>
  <c r="C500" i="5"/>
  <c r="B500" i="5"/>
  <c r="C499" i="5"/>
  <c r="B499" i="5"/>
  <c r="C498" i="5"/>
  <c r="V498" i="5" s="1"/>
  <c r="I498" i="5" s="1"/>
  <c r="B498" i="5"/>
  <c r="C497" i="5"/>
  <c r="V497" i="5" s="1"/>
  <c r="B497" i="5"/>
  <c r="T497" i="5" s="1"/>
  <c r="C496" i="5"/>
  <c r="B496" i="5"/>
  <c r="C495" i="5"/>
  <c r="B495" i="5"/>
  <c r="C494" i="5"/>
  <c r="V494" i="5" s="1"/>
  <c r="I494" i="5" s="1"/>
  <c r="B494" i="5"/>
  <c r="T494" i="5" s="1"/>
  <c r="C493" i="5"/>
  <c r="B493" i="5"/>
  <c r="S493" i="5" s="1"/>
  <c r="C492" i="5"/>
  <c r="B492" i="5"/>
  <c r="C491" i="5"/>
  <c r="B491" i="5"/>
  <c r="C490" i="5"/>
  <c r="V490" i="5" s="1"/>
  <c r="I490" i="5" s="1"/>
  <c r="B490" i="5"/>
  <c r="T490" i="5" s="1"/>
  <c r="C489" i="5"/>
  <c r="B489" i="5"/>
  <c r="C488" i="5"/>
  <c r="B488" i="5"/>
  <c r="C487" i="5"/>
  <c r="B487" i="5"/>
  <c r="C486" i="5"/>
  <c r="B486" i="5"/>
  <c r="T486" i="5" s="1"/>
  <c r="C485" i="5"/>
  <c r="B485" i="5"/>
  <c r="C484" i="5"/>
  <c r="B484" i="5"/>
  <c r="C483" i="5"/>
  <c r="B483" i="5"/>
  <c r="C482" i="5"/>
  <c r="V482" i="5" s="1"/>
  <c r="I482" i="5" s="1"/>
  <c r="B482" i="5"/>
  <c r="C481" i="5"/>
  <c r="B481" i="5"/>
  <c r="T481" i="5" s="1"/>
  <c r="C480" i="5"/>
  <c r="B480" i="5"/>
  <c r="C479" i="5"/>
  <c r="B479" i="5"/>
  <c r="C478" i="5"/>
  <c r="V478" i="5" s="1"/>
  <c r="I478" i="5" s="1"/>
  <c r="B478" i="5"/>
  <c r="T478" i="5" s="1"/>
  <c r="C477" i="5"/>
  <c r="B477" i="5"/>
  <c r="T477" i="5" s="1"/>
  <c r="C476" i="5"/>
  <c r="B476" i="5"/>
  <c r="C475" i="5"/>
  <c r="B475" i="5"/>
  <c r="C474" i="5"/>
  <c r="V474" i="5" s="1"/>
  <c r="I474" i="5" s="1"/>
  <c r="B474" i="5"/>
  <c r="C473" i="5"/>
  <c r="B473" i="5"/>
  <c r="T473" i="5" s="1"/>
  <c r="C472" i="5"/>
  <c r="B472" i="5"/>
  <c r="C471" i="5"/>
  <c r="B471" i="5"/>
  <c r="C470" i="5"/>
  <c r="B470" i="5"/>
  <c r="T470" i="5" s="1"/>
  <c r="C469" i="5"/>
  <c r="B469" i="5"/>
  <c r="T469" i="5" s="1"/>
  <c r="C468" i="5"/>
  <c r="B468" i="5"/>
  <c r="C467" i="5"/>
  <c r="B467" i="5"/>
  <c r="C466" i="5"/>
  <c r="V466" i="5" s="1"/>
  <c r="I466" i="5" s="1"/>
  <c r="B466" i="5"/>
  <c r="C465" i="5"/>
  <c r="B465" i="5"/>
  <c r="C464" i="5"/>
  <c r="B464" i="5"/>
  <c r="C463" i="5"/>
  <c r="B463" i="5"/>
  <c r="C462" i="5"/>
  <c r="V462" i="5" s="1"/>
  <c r="I462" i="5" s="1"/>
  <c r="B462" i="5"/>
  <c r="T462" i="5" s="1"/>
  <c r="C461" i="5"/>
  <c r="B461" i="5"/>
  <c r="C460" i="5"/>
  <c r="B460" i="5"/>
  <c r="C459" i="5"/>
  <c r="B459" i="5"/>
  <c r="C458" i="5"/>
  <c r="V458" i="5" s="1"/>
  <c r="I458" i="5" s="1"/>
  <c r="B458" i="5"/>
  <c r="T458" i="5" s="1"/>
  <c r="C457" i="5"/>
  <c r="B457" i="5"/>
  <c r="C456" i="5"/>
  <c r="B456" i="5"/>
  <c r="C455" i="5"/>
  <c r="B455" i="5"/>
  <c r="C454" i="5"/>
  <c r="B454" i="5"/>
  <c r="T454" i="5" s="1"/>
  <c r="C453" i="5"/>
  <c r="B453" i="5"/>
  <c r="T453" i="5" s="1"/>
  <c r="C452" i="5"/>
  <c r="B452" i="5"/>
  <c r="C451" i="5"/>
  <c r="B451" i="5"/>
  <c r="C450" i="5"/>
  <c r="V450" i="5" s="1"/>
  <c r="I450" i="5" s="1"/>
  <c r="B450" i="5"/>
  <c r="T450" i="5" s="1"/>
  <c r="C449" i="5"/>
  <c r="B449" i="5"/>
  <c r="C448" i="5"/>
  <c r="B448" i="5"/>
  <c r="C447" i="5"/>
  <c r="B447" i="5"/>
  <c r="C446" i="5"/>
  <c r="V446" i="5" s="1"/>
  <c r="I446" i="5" s="1"/>
  <c r="B446" i="5"/>
  <c r="T446" i="5" s="1"/>
  <c r="C445" i="5"/>
  <c r="B445" i="5"/>
  <c r="T445" i="5" s="1"/>
  <c r="C444" i="5"/>
  <c r="B444" i="5"/>
  <c r="C443" i="5"/>
  <c r="B443" i="5"/>
  <c r="C442" i="5"/>
  <c r="V442" i="5" s="1"/>
  <c r="I442" i="5" s="1"/>
  <c r="B442" i="5"/>
  <c r="C441" i="5"/>
  <c r="B441" i="5"/>
  <c r="T441" i="5" s="1"/>
  <c r="C440" i="5"/>
  <c r="B440" i="5"/>
  <c r="C439" i="5"/>
  <c r="B439" i="5"/>
  <c r="C438" i="5"/>
  <c r="V438" i="5" s="1"/>
  <c r="I438" i="5" s="1"/>
  <c r="B438" i="5"/>
  <c r="T438" i="5" s="1"/>
  <c r="C437" i="5"/>
  <c r="B437" i="5"/>
  <c r="S437" i="5" s="1"/>
  <c r="C436" i="5"/>
  <c r="B436" i="5"/>
  <c r="C435" i="5"/>
  <c r="B435" i="5"/>
  <c r="C434" i="5"/>
  <c r="V434" i="5" s="1"/>
  <c r="I434" i="5" s="1"/>
  <c r="B434" i="5"/>
  <c r="C433" i="5"/>
  <c r="B433" i="5"/>
  <c r="C432" i="5"/>
  <c r="B432" i="5"/>
  <c r="C431" i="5"/>
  <c r="B431" i="5"/>
  <c r="C430" i="5"/>
  <c r="V430" i="5" s="1"/>
  <c r="B430" i="5"/>
  <c r="C429" i="5"/>
  <c r="B429" i="5"/>
  <c r="T429" i="5" s="1"/>
  <c r="C428" i="5"/>
  <c r="V428" i="5" s="1"/>
  <c r="R428" i="5" s="1"/>
  <c r="B428" i="5"/>
  <c r="C427" i="5"/>
  <c r="B427" i="5"/>
  <c r="S427" i="5" s="1"/>
  <c r="C426" i="5"/>
  <c r="V426" i="5" s="1"/>
  <c r="B426" i="5"/>
  <c r="C425" i="5"/>
  <c r="B425" i="5"/>
  <c r="C424" i="5"/>
  <c r="B424" i="5"/>
  <c r="T424" i="5" s="1"/>
  <c r="C423" i="5"/>
  <c r="V423" i="5" s="1"/>
  <c r="B423" i="5"/>
  <c r="S423" i="5" s="1"/>
  <c r="C422" i="5"/>
  <c r="V422" i="5" s="1"/>
  <c r="B422" i="5"/>
  <c r="C421" i="5"/>
  <c r="B421" i="5"/>
  <c r="C420" i="5"/>
  <c r="V420" i="5" s="1"/>
  <c r="H420" i="5" s="1"/>
  <c r="B420" i="5"/>
  <c r="C419" i="5"/>
  <c r="V419" i="5" s="1"/>
  <c r="B419" i="5"/>
  <c r="S419" i="5" s="1"/>
  <c r="C418" i="5"/>
  <c r="V418" i="5" s="1"/>
  <c r="B418" i="5"/>
  <c r="C417" i="5"/>
  <c r="B417" i="5"/>
  <c r="S417" i="5" s="1"/>
  <c r="C416" i="5"/>
  <c r="V416" i="5" s="1"/>
  <c r="H416" i="5" s="1"/>
  <c r="B416" i="5"/>
  <c r="T416" i="5" s="1"/>
  <c r="C415" i="5"/>
  <c r="V415" i="5" s="1"/>
  <c r="H415" i="5" s="1"/>
  <c r="B415" i="5"/>
  <c r="S415" i="5" s="1"/>
  <c r="C414" i="5"/>
  <c r="V414" i="5" s="1"/>
  <c r="B414" i="5"/>
  <c r="C413" i="5"/>
  <c r="B413" i="5"/>
  <c r="S413" i="5" s="1"/>
  <c r="C412" i="5"/>
  <c r="V412" i="5" s="1"/>
  <c r="I412" i="5" s="1"/>
  <c r="B412" i="5"/>
  <c r="T412" i="5" s="1"/>
  <c r="C411" i="5"/>
  <c r="V411" i="5" s="1"/>
  <c r="B411" i="5"/>
  <c r="C410" i="5"/>
  <c r="B410" i="5"/>
  <c r="C409" i="5"/>
  <c r="B409" i="5"/>
  <c r="C408" i="5"/>
  <c r="V408" i="5" s="1"/>
  <c r="B408" i="5"/>
  <c r="C407" i="5"/>
  <c r="V407" i="5" s="1"/>
  <c r="B407" i="5"/>
  <c r="C406" i="5"/>
  <c r="V406" i="5" s="1"/>
  <c r="F406" i="5" s="1"/>
  <c r="B406" i="5"/>
  <c r="C405" i="5"/>
  <c r="B405" i="5"/>
  <c r="S405" i="5" s="1"/>
  <c r="C404" i="5"/>
  <c r="B404" i="5"/>
  <c r="T404" i="5" s="1"/>
  <c r="C403" i="5"/>
  <c r="B403" i="5"/>
  <c r="C402" i="5"/>
  <c r="V402" i="5" s="1"/>
  <c r="F402" i="5" s="1"/>
  <c r="B402" i="5"/>
  <c r="C401" i="5"/>
  <c r="V401" i="5" s="1"/>
  <c r="B401" i="5"/>
  <c r="S401" i="5" s="1"/>
  <c r="C400" i="5"/>
  <c r="V400" i="5" s="1"/>
  <c r="I400" i="5" s="1"/>
  <c r="B400" i="5"/>
  <c r="C399" i="5"/>
  <c r="V399" i="5" s="1"/>
  <c r="H399" i="5" s="1"/>
  <c r="B399" i="5"/>
  <c r="C398" i="5"/>
  <c r="B398" i="5"/>
  <c r="C397" i="5"/>
  <c r="V397" i="5" s="1"/>
  <c r="B397" i="5"/>
  <c r="C396" i="5"/>
  <c r="V396" i="5" s="1"/>
  <c r="I396" i="5" s="1"/>
  <c r="B396" i="5"/>
  <c r="S396" i="5" s="1"/>
  <c r="C395" i="5"/>
  <c r="V395" i="5" s="1"/>
  <c r="R395" i="5" s="1"/>
  <c r="B395" i="5"/>
  <c r="C394" i="5"/>
  <c r="B394" i="5"/>
  <c r="T394" i="5" s="1"/>
  <c r="C393" i="5"/>
  <c r="B393" i="5"/>
  <c r="S393" i="5" s="1"/>
  <c r="C392" i="5"/>
  <c r="V392" i="5" s="1"/>
  <c r="B392" i="5"/>
  <c r="C391" i="5"/>
  <c r="V391" i="5" s="1"/>
  <c r="F391" i="5" s="1"/>
  <c r="B391" i="5"/>
  <c r="C390" i="5"/>
  <c r="V390" i="5" s="1"/>
  <c r="B390" i="5"/>
  <c r="C389" i="5"/>
  <c r="V389" i="5" s="1"/>
  <c r="B389" i="5"/>
  <c r="S389" i="5" s="1"/>
  <c r="C388" i="5"/>
  <c r="V388" i="5" s="1"/>
  <c r="H388" i="5" s="1"/>
  <c r="B388" i="5"/>
  <c r="C387" i="5"/>
  <c r="B387" i="5"/>
  <c r="C386" i="5"/>
  <c r="V386" i="5" s="1"/>
  <c r="I386" i="5" s="1"/>
  <c r="B386" i="5"/>
  <c r="T386" i="5" s="1"/>
  <c r="C385" i="5"/>
  <c r="B385" i="5"/>
  <c r="C384" i="5"/>
  <c r="V384" i="5" s="1"/>
  <c r="B384" i="5"/>
  <c r="T384" i="5" s="1"/>
  <c r="C383" i="5"/>
  <c r="V383" i="5" s="1"/>
  <c r="B383" i="5"/>
  <c r="C382" i="5"/>
  <c r="B382" i="5"/>
  <c r="S382" i="5" s="1"/>
  <c r="C381" i="5"/>
  <c r="V381" i="5" s="1"/>
  <c r="R381" i="5" s="1"/>
  <c r="B381" i="5"/>
  <c r="C380" i="5"/>
  <c r="V380" i="5" s="1"/>
  <c r="I380" i="5" s="1"/>
  <c r="B380" i="5"/>
  <c r="T380" i="5" s="1"/>
  <c r="C379" i="5"/>
  <c r="V379" i="5" s="1"/>
  <c r="B379" i="5"/>
  <c r="C378" i="5"/>
  <c r="B378" i="5"/>
  <c r="S378" i="5" s="1"/>
  <c r="C377" i="5"/>
  <c r="B377" i="5"/>
  <c r="C376" i="5"/>
  <c r="V376" i="5" s="1"/>
  <c r="J376" i="5" s="1"/>
  <c r="B376" i="5"/>
  <c r="T376" i="5" s="1"/>
  <c r="C375" i="5"/>
  <c r="V375" i="5" s="1"/>
  <c r="F375" i="5" s="1"/>
  <c r="B375" i="5"/>
  <c r="C374" i="5"/>
  <c r="V374" i="5" s="1"/>
  <c r="B374" i="5"/>
  <c r="C373" i="5"/>
  <c r="B373" i="5"/>
  <c r="S373" i="5" s="1"/>
  <c r="C372" i="5"/>
  <c r="V372" i="5" s="1"/>
  <c r="B372" i="5"/>
  <c r="T372" i="5" s="1"/>
  <c r="C371" i="5"/>
  <c r="B371" i="5"/>
  <c r="C370" i="5"/>
  <c r="V370" i="5" s="1"/>
  <c r="B370" i="5"/>
  <c r="C369" i="5"/>
  <c r="B369" i="5"/>
  <c r="S369" i="5" s="1"/>
  <c r="C368" i="5"/>
  <c r="V368" i="5" s="1"/>
  <c r="J368" i="5" s="1"/>
  <c r="B368" i="5"/>
  <c r="S368" i="5" s="1"/>
  <c r="C367" i="5"/>
  <c r="V367" i="5" s="1"/>
  <c r="H367" i="5" s="1"/>
  <c r="B367" i="5"/>
  <c r="C366" i="5"/>
  <c r="B366" i="5"/>
  <c r="S366" i="5" s="1"/>
  <c r="C365" i="5"/>
  <c r="V365" i="5" s="1"/>
  <c r="J365" i="5" s="1"/>
  <c r="B365" i="5"/>
  <c r="C364" i="5"/>
  <c r="V364" i="5" s="1"/>
  <c r="J364" i="5" s="1"/>
  <c r="B364" i="5"/>
  <c r="C363" i="5"/>
  <c r="V363" i="5" s="1"/>
  <c r="F363" i="5" s="1"/>
  <c r="B363" i="5"/>
  <c r="C362" i="5"/>
  <c r="B362" i="5"/>
  <c r="S362" i="5" s="1"/>
  <c r="C361" i="5"/>
  <c r="B361" i="5"/>
  <c r="S361" i="5" s="1"/>
  <c r="C360" i="5"/>
  <c r="V360" i="5" s="1"/>
  <c r="B360" i="5"/>
  <c r="S360" i="5" s="1"/>
  <c r="C359" i="5"/>
  <c r="V359" i="5" s="1"/>
  <c r="G359" i="5" s="1"/>
  <c r="B359" i="5"/>
  <c r="C358" i="5"/>
  <c r="V358" i="5" s="1"/>
  <c r="B358" i="5"/>
  <c r="C357" i="5"/>
  <c r="V357" i="5" s="1"/>
  <c r="J357" i="5" s="1"/>
  <c r="B357" i="5"/>
  <c r="S357" i="5" s="1"/>
  <c r="C356" i="5"/>
  <c r="V356" i="5" s="1"/>
  <c r="I356" i="5" s="1"/>
  <c r="B356" i="5"/>
  <c r="S356" i="5" s="1"/>
  <c r="C355" i="5"/>
  <c r="V355" i="5" s="1"/>
  <c r="H355" i="5" s="1"/>
  <c r="B355" i="5"/>
  <c r="C354" i="5"/>
  <c r="B354" i="5"/>
  <c r="T354" i="5" s="1"/>
  <c r="C353" i="5"/>
  <c r="B353" i="5"/>
  <c r="S353" i="5" s="1"/>
  <c r="C352" i="5"/>
  <c r="V352" i="5" s="1"/>
  <c r="B352" i="5"/>
  <c r="S352" i="5" s="1"/>
  <c r="C351" i="5"/>
  <c r="V351" i="5" s="1"/>
  <c r="G351" i="5" s="1"/>
  <c r="B351" i="5"/>
  <c r="T351" i="5" s="1"/>
  <c r="C350" i="5"/>
  <c r="B350" i="5"/>
  <c r="C349" i="5"/>
  <c r="B349" i="5"/>
  <c r="C348" i="5"/>
  <c r="B348" i="5"/>
  <c r="C347" i="5"/>
  <c r="V347" i="5" s="1"/>
  <c r="R347" i="5" s="1"/>
  <c r="B347" i="5"/>
  <c r="S347" i="5" s="1"/>
  <c r="C346" i="5"/>
  <c r="V346" i="5" s="1"/>
  <c r="B346" i="5"/>
  <c r="T346" i="5" s="1"/>
  <c r="C345" i="5"/>
  <c r="V345" i="5" s="1"/>
  <c r="R345" i="5" s="1"/>
  <c r="B345" i="5"/>
  <c r="V343" i="5"/>
  <c r="V341" i="5"/>
  <c r="R341" i="5" s="1"/>
  <c r="V340" i="5"/>
  <c r="V339" i="5"/>
  <c r="V338" i="5"/>
  <c r="V335" i="5"/>
  <c r="V333" i="5"/>
  <c r="V332" i="5"/>
  <c r="R332" i="5" s="1"/>
  <c r="V331" i="5"/>
  <c r="R331" i="5" s="1"/>
  <c r="V328" i="5"/>
  <c r="V327" i="5"/>
  <c r="V324" i="5"/>
  <c r="V323" i="5"/>
  <c r="R323" i="5" s="1"/>
  <c r="V320" i="5"/>
  <c r="V319" i="5"/>
  <c r="V316" i="5"/>
  <c r="V315" i="5"/>
  <c r="R315" i="5" s="1"/>
  <c r="V314" i="5"/>
  <c r="V312" i="5"/>
  <c r="V311" i="5"/>
  <c r="V308" i="5"/>
  <c r="V307" i="5"/>
  <c r="V304" i="5"/>
  <c r="V303" i="5"/>
  <c r="V302" i="5"/>
  <c r="V300" i="5"/>
  <c r="V299" i="5"/>
  <c r="V298" i="5"/>
  <c r="V296" i="5"/>
  <c r="V295" i="5"/>
  <c r="V292" i="5"/>
  <c r="X292" i="5" s="1"/>
  <c r="V291" i="5"/>
  <c r="V288" i="5"/>
  <c r="V287" i="5"/>
  <c r="V286" i="5"/>
  <c r="V284" i="5"/>
  <c r="R284" i="5" s="1"/>
  <c r="V283" i="5"/>
  <c r="V279" i="5"/>
  <c r="V278" i="5"/>
  <c r="V276" i="5"/>
  <c r="V275" i="5"/>
  <c r="V272" i="5"/>
  <c r="V271" i="5"/>
  <c r="V268" i="5"/>
  <c r="V267" i="5"/>
  <c r="V266" i="5"/>
  <c r="V264" i="5"/>
  <c r="V263" i="5"/>
  <c r="V262" i="5"/>
  <c r="V260" i="5"/>
  <c r="V259" i="5"/>
  <c r="V258" i="5"/>
  <c r="V256" i="5"/>
  <c r="V253" i="5"/>
  <c r="V252" i="5"/>
  <c r="V251" i="5"/>
  <c r="R251" i="5" s="1"/>
  <c r="V250" i="5"/>
  <c r="V248" i="5"/>
  <c r="V247" i="5"/>
  <c r="R247" i="5" s="1"/>
  <c r="V246" i="5"/>
  <c r="V244" i="5"/>
  <c r="R244" i="5" s="1"/>
  <c r="V242" i="5"/>
  <c r="V241" i="5"/>
  <c r="V240" i="5"/>
  <c r="V238" i="5"/>
  <c r="V237" i="5"/>
  <c r="R237" i="5" s="1"/>
  <c r="V236" i="5"/>
  <c r="V234" i="5"/>
  <c r="V233" i="5"/>
  <c r="V232" i="5"/>
  <c r="V230" i="5"/>
  <c r="V228" i="5"/>
  <c r="R228" i="5" s="1"/>
  <c r="V226" i="5"/>
  <c r="V225" i="5"/>
  <c r="V224" i="5"/>
  <c r="V222" i="5"/>
  <c r="V219" i="5"/>
  <c r="V217" i="5"/>
  <c r="V216" i="5"/>
  <c r="V214" i="5"/>
  <c r="V213" i="5"/>
  <c r="V210" i="5"/>
  <c r="V209" i="5"/>
  <c r="V206" i="5"/>
  <c r="V204" i="5"/>
  <c r="V201" i="5"/>
  <c r="V200" i="5"/>
  <c r="V198" i="5"/>
  <c r="R198" i="5" s="1"/>
  <c r="V197" i="5"/>
  <c r="V193" i="5"/>
  <c r="V190" i="5"/>
  <c r="V189" i="5"/>
  <c r="V188" i="5"/>
  <c r="V186" i="5"/>
  <c r="X186" i="5" s="1"/>
  <c r="V185" i="5"/>
  <c r="V184" i="5"/>
  <c r="X184" i="5" s="1"/>
  <c r="V182" i="5"/>
  <c r="V181" i="5"/>
  <c r="V178" i="5"/>
  <c r="R178" i="5" s="1"/>
  <c r="V174" i="5"/>
  <c r="V173" i="5"/>
  <c r="V172" i="5"/>
  <c r="X172" i="5" s="1"/>
  <c r="V170" i="5"/>
  <c r="R170" i="5" s="1"/>
  <c r="V169" i="5"/>
  <c r="V168" i="5"/>
  <c r="R168" i="5" s="1"/>
  <c r="V165" i="5"/>
  <c r="V164" i="5"/>
  <c r="V162" i="5"/>
  <c r="V161" i="5"/>
  <c r="V160" i="5"/>
  <c r="V157" i="5"/>
  <c r="V156" i="5"/>
  <c r="V153" i="5"/>
  <c r="V152" i="5"/>
  <c r="V150" i="5"/>
  <c r="V149" i="5"/>
  <c r="V148" i="5"/>
  <c r="R148" i="5" s="1"/>
  <c r="V146" i="5"/>
  <c r="V145" i="5"/>
  <c r="V144" i="5"/>
  <c r="V142" i="5"/>
  <c r="V141" i="5"/>
  <c r="V140" i="5"/>
  <c r="V138" i="5"/>
  <c r="V137" i="5"/>
  <c r="V136" i="5"/>
  <c r="V134" i="5"/>
  <c r="R134" i="5" s="1"/>
  <c r="V133" i="5"/>
  <c r="V132" i="5"/>
  <c r="V129" i="5"/>
  <c r="V128" i="5"/>
  <c r="X128" i="5" s="1"/>
  <c r="V125" i="5"/>
  <c r="X125" i="5" s="1"/>
  <c r="V124" i="5"/>
  <c r="V121" i="5"/>
  <c r="V120" i="5"/>
  <c r="R120" i="5" s="1"/>
  <c r="V118" i="5"/>
  <c r="V117" i="5"/>
  <c r="V114" i="5"/>
  <c r="V113" i="5"/>
  <c r="V112" i="5"/>
  <c r="V110" i="5"/>
  <c r="V108" i="5"/>
  <c r="V105" i="5"/>
  <c r="X105" i="5" s="1"/>
  <c r="V102" i="5"/>
  <c r="V101" i="5"/>
  <c r="V100" i="5"/>
  <c r="R100" i="5" s="1"/>
  <c r="V98" i="5"/>
  <c r="V97" i="5"/>
  <c r="V96" i="5"/>
  <c r="V94" i="5"/>
  <c r="V93" i="5"/>
  <c r="V92" i="5"/>
  <c r="V89" i="5"/>
  <c r="V88" i="5"/>
  <c r="V86" i="5"/>
  <c r="V85" i="5"/>
  <c r="V84" i="5"/>
  <c r="V82" i="5"/>
  <c r="V81" i="5"/>
  <c r="V80" i="5"/>
  <c r="V77" i="5"/>
  <c r="V76" i="5"/>
  <c r="V74" i="5"/>
  <c r="V73" i="5"/>
  <c r="V72" i="5"/>
  <c r="R72" i="5" s="1"/>
  <c r="V70" i="5"/>
  <c r="V69" i="5"/>
  <c r="V68" i="5"/>
  <c r="R68" i="5" s="1"/>
  <c r="V65" i="5"/>
  <c r="X65" i="5" s="1"/>
  <c r="V64" i="5"/>
  <c r="V62" i="5"/>
  <c r="V61" i="5"/>
  <c r="V60" i="5"/>
  <c r="V58" i="5"/>
  <c r="V57" i="5"/>
  <c r="V56" i="5"/>
  <c r="R56" i="5" s="1"/>
  <c r="V54" i="5"/>
  <c r="V53" i="5"/>
  <c r="V52" i="5"/>
  <c r="R52" i="5" s="1"/>
  <c r="V50" i="5"/>
  <c r="V49" i="5"/>
  <c r="V48" i="5"/>
  <c r="V46" i="5"/>
  <c r="V45" i="5"/>
  <c r="V44" i="5"/>
  <c r="V42" i="5"/>
  <c r="V41" i="5"/>
  <c r="V40" i="5"/>
  <c r="V38" i="5"/>
  <c r="X38" i="5" s="1"/>
  <c r="V37" i="5"/>
  <c r="V36" i="5"/>
  <c r="R36" i="5" s="1"/>
  <c r="V34" i="5"/>
  <c r="V33" i="5"/>
  <c r="V32" i="5"/>
  <c r="V29" i="5"/>
  <c r="V28" i="5"/>
  <c r="V26" i="5"/>
  <c r="V25" i="5"/>
  <c r="V24" i="5"/>
  <c r="V22" i="5"/>
  <c r="V21" i="5"/>
  <c r="X21" i="5" s="1"/>
  <c r="V20" i="5"/>
  <c r="V16" i="5"/>
  <c r="V14" i="5"/>
  <c r="V13" i="5"/>
  <c r="R13" i="5" s="1"/>
  <c r="V12" i="5"/>
  <c r="V11" i="5"/>
  <c r="R11" i="5" s="1"/>
  <c r="V10" i="5"/>
  <c r="V9" i="5"/>
  <c r="X9" i="5" s="1"/>
  <c r="V8" i="5"/>
  <c r="V7" i="5"/>
  <c r="R7" i="5" s="1"/>
  <c r="V5"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339" i="5"/>
  <c r="T334" i="5"/>
  <c r="S335" i="5"/>
  <c r="S128" i="5"/>
  <c r="T344" i="5"/>
  <c r="T337" i="5"/>
  <c r="S340" i="5"/>
  <c r="R333" i="5" l="1"/>
  <c r="H333" i="5"/>
  <c r="G333" i="5"/>
  <c r="S892" i="5"/>
  <c r="AB501" i="5"/>
  <c r="S647" i="5"/>
  <c r="T658" i="5"/>
  <c r="T396" i="5"/>
  <c r="S354" i="5"/>
  <c r="AB1342" i="5"/>
  <c r="T501" i="5"/>
  <c r="T1065" i="5"/>
  <c r="AB634" i="5"/>
  <c r="T368" i="5"/>
  <c r="AB568" i="5"/>
  <c r="AB608" i="5"/>
  <c r="AB965" i="5"/>
  <c r="AB325" i="5"/>
  <c r="T552" i="5"/>
  <c r="S915" i="5"/>
  <c r="E356" i="5"/>
  <c r="X356" i="5" s="1"/>
  <c r="T1194" i="5"/>
  <c r="AB1290" i="5"/>
  <c r="AB443" i="5"/>
  <c r="AB471" i="5"/>
  <c r="T561" i="5"/>
  <c r="T1040" i="5"/>
  <c r="S1017" i="5"/>
  <c r="AB239" i="5"/>
  <c r="AB691" i="5"/>
  <c r="S473" i="5"/>
  <c r="T691" i="5"/>
  <c r="AB1279" i="5"/>
  <c r="S625" i="5"/>
  <c r="T760" i="5"/>
  <c r="S1305" i="5"/>
  <c r="T937" i="5"/>
  <c r="T1125" i="5"/>
  <c r="T1010" i="5"/>
  <c r="S945" i="5"/>
  <c r="AB214" i="5"/>
  <c r="AB549" i="5"/>
  <c r="S631" i="5"/>
  <c r="AB946" i="5"/>
  <c r="AB950" i="5"/>
  <c r="AB263" i="5"/>
  <c r="J356" i="5"/>
  <c r="T549" i="5"/>
  <c r="T618" i="5"/>
  <c r="S776" i="5"/>
  <c r="T844" i="5"/>
  <c r="T1298" i="5"/>
  <c r="AB1357" i="5"/>
  <c r="H1376" i="5"/>
  <c r="AB79" i="5"/>
  <c r="X320" i="5"/>
  <c r="T356" i="5"/>
  <c r="T437" i="5"/>
  <c r="AB526" i="5"/>
  <c r="S712" i="5"/>
  <c r="AB810" i="5"/>
  <c r="AB864" i="5"/>
  <c r="T1004" i="5"/>
  <c r="H1079" i="5"/>
  <c r="AB1196" i="5"/>
  <c r="S1207" i="5"/>
  <c r="T1214" i="5"/>
  <c r="AB1295" i="5"/>
  <c r="T1357" i="5"/>
  <c r="AB256" i="5"/>
  <c r="AB299" i="5"/>
  <c r="S639" i="5"/>
  <c r="T668" i="5"/>
  <c r="AB683" i="5"/>
  <c r="S698" i="5"/>
  <c r="S924" i="5"/>
  <c r="T1008" i="5"/>
  <c r="AB470" i="5"/>
  <c r="S573" i="5"/>
  <c r="S626" i="5"/>
  <c r="S629" i="5"/>
  <c r="S643" i="5"/>
  <c r="T672" i="5"/>
  <c r="T732" i="5"/>
  <c r="T896" i="5"/>
  <c r="S899" i="5"/>
  <c r="I357" i="5"/>
  <c r="I364" i="5"/>
  <c r="T581" i="5"/>
  <c r="S796" i="5"/>
  <c r="AB948" i="5"/>
  <c r="AB1043" i="5"/>
  <c r="T1162" i="5"/>
  <c r="T1274" i="5"/>
  <c r="S1285" i="5"/>
  <c r="T352" i="5"/>
  <c r="S394" i="5"/>
  <c r="S416" i="5"/>
  <c r="S517" i="5"/>
  <c r="S605" i="5"/>
  <c r="T624" i="5"/>
  <c r="T662" i="5"/>
  <c r="AB745" i="5"/>
  <c r="S835" i="5"/>
  <c r="AB847" i="5"/>
  <c r="T1009" i="5"/>
  <c r="T1143" i="5"/>
  <c r="AB1194" i="5"/>
  <c r="AB1282" i="5"/>
  <c r="AB1340" i="5"/>
  <c r="AB475" i="5"/>
  <c r="AB487" i="5"/>
  <c r="S627" i="5"/>
  <c r="J782" i="5"/>
  <c r="AB938" i="5"/>
  <c r="S1089" i="5"/>
  <c r="F20" i="6"/>
  <c r="F21" i="6"/>
  <c r="E630" i="5"/>
  <c r="X630" i="5" s="1"/>
  <c r="H630" i="5"/>
  <c r="I1035" i="5"/>
  <c r="AB279" i="5"/>
  <c r="F890" i="5"/>
  <c r="V938" i="5"/>
  <c r="E938" i="5" s="1"/>
  <c r="X938" i="5" s="1"/>
  <c r="AB942" i="5"/>
  <c r="AB1029" i="5"/>
  <c r="H1351" i="5"/>
  <c r="X86" i="5"/>
  <c r="AB111" i="5"/>
  <c r="AB630" i="5"/>
  <c r="H890" i="5"/>
  <c r="F1310" i="5"/>
  <c r="AB170" i="5"/>
  <c r="R365" i="5"/>
  <c r="V470" i="5"/>
  <c r="I470" i="5" s="1"/>
  <c r="AB792" i="5"/>
  <c r="F949" i="5"/>
  <c r="AB1002" i="5"/>
  <c r="G1014" i="5"/>
  <c r="AB1150" i="5"/>
  <c r="V1219" i="5"/>
  <c r="E1219" i="5" s="1"/>
  <c r="X1219" i="5" s="1"/>
  <c r="V196" i="5"/>
  <c r="R196" i="5" s="1"/>
  <c r="AB287" i="5"/>
  <c r="AB291" i="5"/>
  <c r="AB295" i="5"/>
  <c r="G428" i="5"/>
  <c r="H759" i="5"/>
  <c r="AB907" i="5"/>
  <c r="AB1272" i="5"/>
  <c r="I1087" i="5"/>
  <c r="AB146" i="5"/>
  <c r="J428" i="5"/>
  <c r="AB1023" i="5"/>
  <c r="G1174" i="5"/>
  <c r="AB966" i="5"/>
  <c r="AB255" i="5"/>
  <c r="AB408" i="5"/>
  <c r="AB656" i="5"/>
  <c r="J922" i="5"/>
  <c r="AB930" i="5"/>
  <c r="AB1102" i="5"/>
  <c r="AB1106" i="5"/>
  <c r="AB1312" i="5"/>
  <c r="E1327" i="5"/>
  <c r="X1327" i="5" s="1"/>
  <c r="R291" i="5"/>
  <c r="R216" i="5"/>
  <c r="AB620" i="5"/>
  <c r="S620" i="5"/>
  <c r="T679" i="5"/>
  <c r="AB679" i="5"/>
  <c r="F786" i="5"/>
  <c r="R786" i="5"/>
  <c r="H786" i="5"/>
  <c r="R1335" i="5"/>
  <c r="I1335" i="5"/>
  <c r="AB41" i="5"/>
  <c r="R397" i="5"/>
  <c r="J397" i="5"/>
  <c r="S1317" i="5"/>
  <c r="T1317" i="5"/>
  <c r="T1091" i="5"/>
  <c r="S1091" i="5"/>
  <c r="T744" i="5"/>
  <c r="S744" i="5"/>
  <c r="I902" i="5"/>
  <c r="H902" i="5"/>
  <c r="S1146" i="5"/>
  <c r="T1146" i="5"/>
  <c r="G1266" i="5"/>
  <c r="E1266" i="5"/>
  <c r="X1266" i="5" s="1"/>
  <c r="AB17" i="5"/>
  <c r="AB157" i="5"/>
  <c r="AB198" i="5"/>
  <c r="AB223" i="5"/>
  <c r="T392" i="5"/>
  <c r="S392" i="5"/>
  <c r="T747" i="5"/>
  <c r="S747" i="5"/>
  <c r="T1045" i="5"/>
  <c r="S1045" i="5"/>
  <c r="V1074" i="5"/>
  <c r="G1074" i="5" s="1"/>
  <c r="T1360" i="5"/>
  <c r="S1360" i="5"/>
  <c r="X85" i="5"/>
  <c r="AB133" i="5"/>
  <c r="AB150" i="5"/>
  <c r="AB283" i="5"/>
  <c r="AB315" i="5"/>
  <c r="X328" i="5"/>
  <c r="T521" i="5"/>
  <c r="S521" i="5"/>
  <c r="S670" i="5"/>
  <c r="AB670" i="5"/>
  <c r="E950" i="5"/>
  <c r="X950" i="5" s="1"/>
  <c r="R950" i="5"/>
  <c r="H950" i="5"/>
  <c r="F950" i="5"/>
  <c r="H957" i="5"/>
  <c r="F957" i="5"/>
  <c r="V1166" i="5"/>
  <c r="J1166" i="5" s="1"/>
  <c r="S1311" i="5"/>
  <c r="T1311" i="5"/>
  <c r="I1126" i="5"/>
  <c r="H1126" i="5"/>
  <c r="F1126" i="5"/>
  <c r="AB21" i="5"/>
  <c r="AB348" i="5"/>
  <c r="T348" i="5"/>
  <c r="S348" i="5"/>
  <c r="V558" i="5"/>
  <c r="E558" i="5" s="1"/>
  <c r="X558" i="5" s="1"/>
  <c r="AB558" i="5"/>
  <c r="T592" i="5"/>
  <c r="S592" i="5"/>
  <c r="R775" i="5"/>
  <c r="J775" i="5"/>
  <c r="G864" i="5"/>
  <c r="F864" i="5"/>
  <c r="I882" i="5"/>
  <c r="R882" i="5"/>
  <c r="S1006" i="5"/>
  <c r="T1006" i="5"/>
  <c r="R1027" i="5"/>
  <c r="H1027" i="5"/>
  <c r="X150" i="5"/>
  <c r="V180" i="5"/>
  <c r="R180" i="5" s="1"/>
  <c r="X206" i="5"/>
  <c r="V404" i="5"/>
  <c r="G404" i="5" s="1"/>
  <c r="AB404" i="5"/>
  <c r="S719" i="5"/>
  <c r="T719" i="5"/>
  <c r="R797" i="5"/>
  <c r="I797" i="5"/>
  <c r="I1098" i="5"/>
  <c r="J1098" i="5"/>
  <c r="R1361" i="5"/>
  <c r="H1361" i="5"/>
  <c r="AB521" i="5"/>
  <c r="T736" i="5"/>
  <c r="J759" i="5"/>
  <c r="AB820" i="5"/>
  <c r="S943" i="5"/>
  <c r="S951" i="5"/>
  <c r="S961" i="5"/>
  <c r="AB1091" i="5"/>
  <c r="T1139" i="5"/>
  <c r="AB1169" i="5"/>
  <c r="S1175" i="5"/>
  <c r="T1178" i="5"/>
  <c r="AB1240" i="5"/>
  <c r="T1273" i="5"/>
  <c r="T1282" i="5"/>
  <c r="AB1311" i="5"/>
  <c r="AB356" i="5"/>
  <c r="AB534" i="5"/>
  <c r="AB565" i="5"/>
  <c r="AB648" i="5"/>
  <c r="R783" i="5"/>
  <c r="AB806" i="5"/>
  <c r="S1166" i="5"/>
  <c r="H1257" i="5"/>
  <c r="H1267" i="5"/>
  <c r="AB1283" i="5"/>
  <c r="G389" i="5"/>
  <c r="AB439" i="5"/>
  <c r="S453" i="5"/>
  <c r="AB518" i="5"/>
  <c r="T525" i="5"/>
  <c r="T541" i="5"/>
  <c r="I562" i="5"/>
  <c r="S565" i="5"/>
  <c r="AB573" i="5"/>
  <c r="S576" i="5"/>
  <c r="H586" i="5"/>
  <c r="S589" i="5"/>
  <c r="S683" i="5"/>
  <c r="AB700" i="5"/>
  <c r="S702" i="5"/>
  <c r="V719" i="5"/>
  <c r="G719" i="5" s="1"/>
  <c r="S773" i="5"/>
  <c r="S781" i="5"/>
  <c r="S820" i="5"/>
  <c r="V880" i="5"/>
  <c r="G880" i="5" s="1"/>
  <c r="S976" i="5"/>
  <c r="T1025" i="5"/>
  <c r="AB1032" i="5"/>
  <c r="AB1046" i="5"/>
  <c r="J1063" i="5"/>
  <c r="G1072" i="5"/>
  <c r="AB1075" i="5"/>
  <c r="AB1079" i="5"/>
  <c r="AB1202" i="5"/>
  <c r="T419" i="5"/>
  <c r="S429" i="5"/>
  <c r="AB450" i="5"/>
  <c r="AB773" i="5"/>
  <c r="S891" i="5"/>
  <c r="S916" i="5"/>
  <c r="S1053" i="5"/>
  <c r="AB1073" i="5"/>
  <c r="T1075" i="5"/>
  <c r="T1101" i="5"/>
  <c r="S1131" i="5"/>
  <c r="T1154" i="5"/>
  <c r="AB1157" i="5"/>
  <c r="T1170" i="5"/>
  <c r="S1202" i="5"/>
  <c r="G1215" i="5"/>
  <c r="T1218" i="5"/>
  <c r="H1327" i="5"/>
  <c r="G1339" i="5"/>
  <c r="R1358" i="5"/>
  <c r="G347" i="5"/>
  <c r="G357" i="5"/>
  <c r="AB451" i="5"/>
  <c r="S469" i="5"/>
  <c r="AB577" i="5"/>
  <c r="AB624" i="5"/>
  <c r="T646" i="5"/>
  <c r="S748" i="5"/>
  <c r="AB780" i="5"/>
  <c r="I878" i="5"/>
  <c r="S883" i="5"/>
  <c r="H886" i="5"/>
  <c r="H901" i="5"/>
  <c r="AB970" i="5"/>
  <c r="S1167" i="5"/>
  <c r="G1206" i="5"/>
  <c r="T1231" i="5"/>
  <c r="S1312" i="5"/>
  <c r="I1327" i="5"/>
  <c r="G1349" i="5"/>
  <c r="G1372" i="5"/>
  <c r="S509" i="5"/>
  <c r="V542" i="5"/>
  <c r="E542" i="5" s="1"/>
  <c r="X542" i="5" s="1"/>
  <c r="S577" i="5"/>
  <c r="S593" i="5"/>
  <c r="T638" i="5"/>
  <c r="S671" i="5"/>
  <c r="T674" i="5"/>
  <c r="S720" i="5"/>
  <c r="AB818" i="5"/>
  <c r="V824" i="5"/>
  <c r="G824" i="5" s="1"/>
  <c r="H861" i="5"/>
  <c r="R878" i="5"/>
  <c r="AB884" i="5"/>
  <c r="E894" i="5"/>
  <c r="X894" i="5" s="1"/>
  <c r="AB908" i="5"/>
  <c r="AB937" i="5"/>
  <c r="G957" i="5"/>
  <c r="T984" i="5"/>
  <c r="J1023" i="5"/>
  <c r="T1029" i="5"/>
  <c r="T1061" i="5"/>
  <c r="R1067" i="5"/>
  <c r="J1079" i="5"/>
  <c r="AB1099" i="5"/>
  <c r="S1109" i="5"/>
  <c r="T1123" i="5"/>
  <c r="T1135" i="5"/>
  <c r="T1272" i="5"/>
  <c r="T1281" i="5"/>
  <c r="R1327" i="5"/>
  <c r="S1337" i="5"/>
  <c r="I1343" i="5"/>
  <c r="T347" i="5"/>
  <c r="E428" i="5"/>
  <c r="X428" i="5" s="1"/>
  <c r="AB435" i="5"/>
  <c r="AB459" i="5"/>
  <c r="AB499" i="5"/>
  <c r="S533" i="5"/>
  <c r="S536" i="5"/>
  <c r="AB609" i="5"/>
  <c r="AB616" i="5"/>
  <c r="S619" i="5"/>
  <c r="T622" i="5"/>
  <c r="S635" i="5"/>
  <c r="S656" i="5"/>
  <c r="T678" i="5"/>
  <c r="S684" i="5"/>
  <c r="T718" i="5"/>
  <c r="G759" i="5"/>
  <c r="G780" i="5"/>
  <c r="S815" i="5"/>
  <c r="S847" i="5"/>
  <c r="AB940" i="5"/>
  <c r="AB954" i="5"/>
  <c r="AB975" i="5"/>
  <c r="AB1027" i="5"/>
  <c r="G1106" i="5"/>
  <c r="AB1110" i="5"/>
  <c r="H1191" i="5"/>
  <c r="AB1226" i="5"/>
  <c r="H1249" i="5"/>
  <c r="G1319" i="5"/>
  <c r="S1340" i="5"/>
  <c r="R12" i="5"/>
  <c r="X12" i="5"/>
  <c r="R42" i="5"/>
  <c r="X42" i="5"/>
  <c r="V245" i="5"/>
  <c r="AB740" i="5"/>
  <c r="T740" i="5"/>
  <c r="S740" i="5"/>
  <c r="V6" i="5"/>
  <c r="V104" i="5"/>
  <c r="R104" i="5" s="1"/>
  <c r="AB125" i="5"/>
  <c r="R140" i="5"/>
  <c r="X140" i="5"/>
  <c r="V158" i="5"/>
  <c r="R9" i="5"/>
  <c r="AB85" i="5"/>
  <c r="S374" i="5"/>
  <c r="T374" i="5"/>
  <c r="V17" i="5"/>
  <c r="R17" i="5" s="1"/>
  <c r="V122" i="5"/>
  <c r="R152" i="5"/>
  <c r="X152" i="5"/>
  <c r="V177" i="5"/>
  <c r="AB177" i="5"/>
  <c r="AB213" i="5"/>
  <c r="X22" i="5"/>
  <c r="R40" i="5"/>
  <c r="R5" i="5"/>
  <c r="AB29" i="5"/>
  <c r="R38" i="5"/>
  <c r="R82" i="5"/>
  <c r="X102" i="5"/>
  <c r="R102" i="5"/>
  <c r="V221" i="5"/>
  <c r="V306" i="5"/>
  <c r="R26" i="5"/>
  <c r="R86" i="5"/>
  <c r="V109" i="5"/>
  <c r="V229" i="5"/>
  <c r="I725" i="5"/>
  <c r="H725" i="5"/>
  <c r="V30" i="5"/>
  <c r="AB81" i="5"/>
  <c r="V116" i="5"/>
  <c r="R116" i="5" s="1"/>
  <c r="R160" i="5"/>
  <c r="AB93" i="5"/>
  <c r="V130" i="5"/>
  <c r="R214" i="5"/>
  <c r="X307" i="5"/>
  <c r="AB25" i="5"/>
  <c r="V18" i="5"/>
  <c r="R22" i="5"/>
  <c r="AB65" i="5"/>
  <c r="AB101" i="5"/>
  <c r="V154" i="5"/>
  <c r="R316" i="5"/>
  <c r="AB145" i="5"/>
  <c r="AB166" i="5"/>
  <c r="AB182" i="5"/>
  <c r="R186" i="5"/>
  <c r="AB47" i="5"/>
  <c r="AB105" i="5"/>
  <c r="V106" i="5"/>
  <c r="AB178" i="5"/>
  <c r="AB190" i="5"/>
  <c r="AB272" i="5"/>
  <c r="AB280" i="5"/>
  <c r="V90" i="5"/>
  <c r="X90" i="5" s="1"/>
  <c r="AB122" i="5"/>
  <c r="AB130" i="5"/>
  <c r="AB197" i="5"/>
  <c r="AB271" i="5"/>
  <c r="AB37" i="5"/>
  <c r="AB89" i="5"/>
  <c r="AB134" i="5"/>
  <c r="AB154" i="5"/>
  <c r="AB193" i="5"/>
  <c r="AB231" i="5"/>
  <c r="AB311" i="5"/>
  <c r="AB319" i="5"/>
  <c r="AB329" i="5"/>
  <c r="T582" i="5"/>
  <c r="AB582" i="5"/>
  <c r="E594" i="5"/>
  <c r="X594" i="5" s="1"/>
  <c r="H594" i="5"/>
  <c r="G594" i="5"/>
  <c r="S465" i="5"/>
  <c r="T465" i="5"/>
  <c r="R383" i="5"/>
  <c r="F383" i="5"/>
  <c r="AB352" i="5"/>
  <c r="F374" i="5"/>
  <c r="E374" i="5"/>
  <c r="X374" i="5" s="1"/>
  <c r="J416" i="5"/>
  <c r="I416" i="5"/>
  <c r="AB431" i="5"/>
  <c r="T505" i="5"/>
  <c r="S505" i="5"/>
  <c r="E538" i="5"/>
  <c r="X538" i="5" s="1"/>
  <c r="F538" i="5"/>
  <c r="I766" i="5"/>
  <c r="J766" i="5"/>
  <c r="T696" i="5"/>
  <c r="S696" i="5"/>
  <c r="G845" i="5"/>
  <c r="F845" i="5"/>
  <c r="J372" i="5"/>
  <c r="H372" i="5"/>
  <c r="I384" i="5"/>
  <c r="H384" i="5"/>
  <c r="T390" i="5"/>
  <c r="S390" i="5"/>
  <c r="H400" i="5"/>
  <c r="V403" i="5"/>
  <c r="G403" i="5" s="1"/>
  <c r="T414" i="5"/>
  <c r="S414" i="5"/>
  <c r="T422" i="5"/>
  <c r="S422" i="5"/>
  <c r="AB652" i="5"/>
  <c r="S652" i="5"/>
  <c r="R794" i="5"/>
  <c r="J794" i="5"/>
  <c r="I794" i="5"/>
  <c r="E794" i="5"/>
  <c r="X794" i="5" s="1"/>
  <c r="AB800" i="5"/>
  <c r="S800" i="5"/>
  <c r="S903" i="5"/>
  <c r="T903" i="5"/>
  <c r="V348" i="5"/>
  <c r="H348" i="5" s="1"/>
  <c r="AB367" i="5"/>
  <c r="V369" i="5"/>
  <c r="R369" i="5" s="1"/>
  <c r="S372" i="5"/>
  <c r="T378" i="5"/>
  <c r="S384" i="5"/>
  <c r="AB388" i="5"/>
  <c r="T388" i="5"/>
  <c r="J400" i="5"/>
  <c r="S408" i="5"/>
  <c r="S441" i="5"/>
  <c r="AB455" i="5"/>
  <c r="T520" i="5"/>
  <c r="S520" i="5"/>
  <c r="AB593" i="5"/>
  <c r="V593" i="5"/>
  <c r="F593" i="5" s="1"/>
  <c r="R629" i="5"/>
  <c r="H629" i="5"/>
  <c r="J629" i="5"/>
  <c r="R751" i="5"/>
  <c r="H751" i="5"/>
  <c r="H814" i="5"/>
  <c r="I814" i="5"/>
  <c r="V817" i="5"/>
  <c r="I817" i="5" s="1"/>
  <c r="AB817" i="5"/>
  <c r="V889" i="5"/>
  <c r="G889" i="5" s="1"/>
  <c r="AB889" i="5"/>
  <c r="T1187" i="5"/>
  <c r="S1187" i="5"/>
  <c r="AB1258" i="5"/>
  <c r="V1258" i="5"/>
  <c r="H1258" i="5" s="1"/>
  <c r="I388" i="5"/>
  <c r="E388" i="5"/>
  <c r="X388" i="5" s="1"/>
  <c r="T408" i="5"/>
  <c r="AB416" i="5"/>
  <c r="S433" i="5"/>
  <c r="T433" i="5"/>
  <c r="AB438" i="5"/>
  <c r="T485" i="5"/>
  <c r="S485" i="5"/>
  <c r="V510" i="5"/>
  <c r="G510" i="5" s="1"/>
  <c r="AB510" i="5"/>
  <c r="AB517" i="5"/>
  <c r="V517" i="5"/>
  <c r="F517" i="5" s="1"/>
  <c r="AB557" i="5"/>
  <c r="V557" i="5"/>
  <c r="E557" i="5" s="1"/>
  <c r="X557" i="5" s="1"/>
  <c r="T659" i="5"/>
  <c r="S659" i="5"/>
  <c r="AB728" i="5"/>
  <c r="T728" i="5"/>
  <c r="R834" i="5"/>
  <c r="E834" i="5"/>
  <c r="X834" i="5" s="1"/>
  <c r="I834" i="5"/>
  <c r="J834" i="5"/>
  <c r="T837" i="5"/>
  <c r="AB837" i="5"/>
  <c r="I914" i="5"/>
  <c r="R914" i="5"/>
  <c r="H914" i="5"/>
  <c r="F914" i="5"/>
  <c r="E914" i="5"/>
  <c r="X914" i="5" s="1"/>
  <c r="J914" i="5"/>
  <c r="T1083" i="5"/>
  <c r="S1083" i="5"/>
  <c r="AB1113" i="5"/>
  <c r="T1113" i="5"/>
  <c r="S1113" i="5"/>
  <c r="J401" i="5"/>
  <c r="R401" i="5"/>
  <c r="E514" i="5"/>
  <c r="X514" i="5" s="1"/>
  <c r="F514" i="5"/>
  <c r="S537" i="5"/>
  <c r="T537" i="5"/>
  <c r="E554" i="5"/>
  <c r="X554" i="5" s="1"/>
  <c r="F554" i="5"/>
  <c r="S597" i="5"/>
  <c r="T597" i="5"/>
  <c r="AB612" i="5"/>
  <c r="V612" i="5"/>
  <c r="R612" i="5" s="1"/>
  <c r="I724" i="5"/>
  <c r="G724" i="5"/>
  <c r="G804" i="5"/>
  <c r="F804" i="5"/>
  <c r="S949" i="5"/>
  <c r="T949" i="5"/>
  <c r="V342" i="5"/>
  <c r="H347" i="5"/>
  <c r="F347" i="5"/>
  <c r="AB368" i="5"/>
  <c r="E376" i="5"/>
  <c r="X376" i="5" s="1"/>
  <c r="S388" i="5"/>
  <c r="J396" i="5"/>
  <c r="AB399" i="5"/>
  <c r="G401" i="5"/>
  <c r="T415" i="5"/>
  <c r="T482" i="5"/>
  <c r="AB482" i="5"/>
  <c r="H514" i="5"/>
  <c r="T544" i="5"/>
  <c r="S544" i="5"/>
  <c r="I554" i="5"/>
  <c r="S642" i="5"/>
  <c r="T642" i="5"/>
  <c r="T715" i="5"/>
  <c r="S715" i="5"/>
  <c r="I917" i="5"/>
  <c r="F917" i="5"/>
  <c r="AB491" i="5"/>
  <c r="AB495" i="5"/>
  <c r="G514" i="5"/>
  <c r="G538" i="5"/>
  <c r="G554" i="5"/>
  <c r="AB562" i="5"/>
  <c r="T568" i="5"/>
  <c r="S596" i="5"/>
  <c r="AB598" i="5"/>
  <c r="T608" i="5"/>
  <c r="AB614" i="5"/>
  <c r="AB622" i="5"/>
  <c r="S636" i="5"/>
  <c r="J639" i="5"/>
  <c r="AB644" i="5"/>
  <c r="S651" i="5"/>
  <c r="AB668" i="5"/>
  <c r="S700" i="5"/>
  <c r="S716" i="5"/>
  <c r="S727" i="5"/>
  <c r="S765" i="5"/>
  <c r="H775" i="5"/>
  <c r="S784" i="5"/>
  <c r="S804" i="5"/>
  <c r="T831" i="5"/>
  <c r="J866" i="5"/>
  <c r="I866" i="5"/>
  <c r="F869" i="5"/>
  <c r="I886" i="5"/>
  <c r="J886" i="5"/>
  <c r="F886" i="5"/>
  <c r="E886" i="5"/>
  <c r="X886" i="5" s="1"/>
  <c r="F930" i="5"/>
  <c r="E942" i="5"/>
  <c r="X942" i="5" s="1"/>
  <c r="R942" i="5"/>
  <c r="J942" i="5"/>
  <c r="H942" i="5"/>
  <c r="G942" i="5"/>
  <c r="V1061" i="5"/>
  <c r="F1061" i="5" s="1"/>
  <c r="V1082" i="5"/>
  <c r="G1082" i="5" s="1"/>
  <c r="V1134" i="5"/>
  <c r="F1134" i="5" s="1"/>
  <c r="E1227" i="5"/>
  <c r="X1227" i="5" s="1"/>
  <c r="J1227" i="5"/>
  <c r="F1227" i="5"/>
  <c r="AB537" i="5"/>
  <c r="V573" i="5"/>
  <c r="E573" i="5" s="1"/>
  <c r="X573" i="5" s="1"/>
  <c r="T620" i="5"/>
  <c r="AB623" i="5"/>
  <c r="AB696" i="5"/>
  <c r="I898" i="5"/>
  <c r="R898" i="5"/>
  <c r="S1129" i="5"/>
  <c r="AB1129" i="5"/>
  <c r="T1129" i="5"/>
  <c r="T1219" i="5"/>
  <c r="S1219" i="5"/>
  <c r="S1256" i="5"/>
  <c r="AB1256" i="5"/>
  <c r="AB1278" i="5"/>
  <c r="V1278" i="5"/>
  <c r="H1278" i="5" s="1"/>
  <c r="AB428" i="5"/>
  <c r="AB430" i="5"/>
  <c r="AB479" i="5"/>
  <c r="AB513" i="5"/>
  <c r="AB514" i="5"/>
  <c r="AB554" i="5"/>
  <c r="G675" i="5"/>
  <c r="AB748" i="5"/>
  <c r="S751" i="5"/>
  <c r="E754" i="5"/>
  <c r="X754" i="5" s="1"/>
  <c r="AB757" i="5"/>
  <c r="S780" i="5"/>
  <c r="E790" i="5"/>
  <c r="X790" i="5" s="1"/>
  <c r="G805" i="5"/>
  <c r="AB813" i="5"/>
  <c r="E830" i="5"/>
  <c r="X830" i="5" s="1"/>
  <c r="T887" i="5"/>
  <c r="S887" i="5"/>
  <c r="T925" i="5"/>
  <c r="AB925" i="5"/>
  <c r="E1062" i="5"/>
  <c r="X1062" i="5" s="1"/>
  <c r="F1062" i="5"/>
  <c r="I1062" i="5"/>
  <c r="H1062" i="5"/>
  <c r="V1090" i="5"/>
  <c r="G1090" i="5" s="1"/>
  <c r="S1229" i="5"/>
  <c r="T1229" i="5"/>
  <c r="R1330" i="5"/>
  <c r="E1330" i="5"/>
  <c r="X1330" i="5" s="1"/>
  <c r="AB400" i="5"/>
  <c r="AB467" i="5"/>
  <c r="AB497" i="5"/>
  <c r="AB502" i="5"/>
  <c r="G526" i="5"/>
  <c r="V537" i="5"/>
  <c r="F537" i="5" s="1"/>
  <c r="S548" i="5"/>
  <c r="V550" i="5"/>
  <c r="I550" i="5" s="1"/>
  <c r="AB560" i="5"/>
  <c r="F562" i="5"/>
  <c r="G569" i="5"/>
  <c r="S572" i="5"/>
  <c r="S588" i="5"/>
  <c r="AB638" i="5"/>
  <c r="T650" i="5"/>
  <c r="G655" i="5"/>
  <c r="AB666" i="5"/>
  <c r="S699" i="5"/>
  <c r="H701" i="5"/>
  <c r="T703" i="5"/>
  <c r="AB737" i="5"/>
  <c r="AB752" i="5"/>
  <c r="S757" i="5"/>
  <c r="S764" i="5"/>
  <c r="S788" i="5"/>
  <c r="S808" i="5"/>
  <c r="AB811" i="5"/>
  <c r="AB814" i="5"/>
  <c r="I849" i="5"/>
  <c r="G856" i="5"/>
  <c r="F856" i="5"/>
  <c r="T897" i="5"/>
  <c r="AB897" i="5"/>
  <c r="G1062" i="5"/>
  <c r="J1330" i="5"/>
  <c r="AB447" i="5"/>
  <c r="AB483" i="5"/>
  <c r="G533" i="5"/>
  <c r="G562" i="5"/>
  <c r="G586" i="5"/>
  <c r="F630" i="5"/>
  <c r="S655" i="5"/>
  <c r="AB664" i="5"/>
  <c r="AB699" i="5"/>
  <c r="I713" i="5"/>
  <c r="V728" i="5"/>
  <c r="G728" i="5" s="1"/>
  <c r="AB775" i="5"/>
  <c r="R830" i="5"/>
  <c r="J830" i="5"/>
  <c r="G958" i="5"/>
  <c r="F958" i="5"/>
  <c r="T962" i="5"/>
  <c r="AB962" i="5"/>
  <c r="I1084" i="5"/>
  <c r="R1084" i="5"/>
  <c r="J1084" i="5"/>
  <c r="V1142" i="5"/>
  <c r="T1182" i="5"/>
  <c r="S1182" i="5"/>
  <c r="R1346" i="5"/>
  <c r="F1346" i="5"/>
  <c r="AB655" i="5"/>
  <c r="J850" i="5"/>
  <c r="H850" i="5"/>
  <c r="T861" i="5"/>
  <c r="AB861" i="5"/>
  <c r="T923" i="5"/>
  <c r="S923" i="5"/>
  <c r="T933" i="5"/>
  <c r="AB933" i="5"/>
  <c r="S933" i="5"/>
  <c r="F1201" i="5"/>
  <c r="R1201" i="5"/>
  <c r="E1201" i="5"/>
  <c r="X1201" i="5" s="1"/>
  <c r="R1217" i="5"/>
  <c r="F1217" i="5"/>
  <c r="R1250" i="5"/>
  <c r="J1250" i="5"/>
  <c r="I1250" i="5"/>
  <c r="E1250" i="5"/>
  <c r="X1250" i="5" s="1"/>
  <c r="G667" i="5"/>
  <c r="AB708" i="5"/>
  <c r="S711" i="5"/>
  <c r="AB741" i="5"/>
  <c r="R767" i="5"/>
  <c r="G775" i="5"/>
  <c r="S895" i="5"/>
  <c r="S908" i="5"/>
  <c r="T912" i="5"/>
  <c r="S912" i="5"/>
  <c r="V1066" i="5"/>
  <c r="G1066" i="5" s="1"/>
  <c r="I1122" i="5"/>
  <c r="R1122" i="5"/>
  <c r="J1122" i="5"/>
  <c r="H1122" i="5"/>
  <c r="G1122" i="5"/>
  <c r="F1122" i="5"/>
  <c r="E1122" i="5"/>
  <c r="X1122" i="5" s="1"/>
  <c r="I1150" i="5"/>
  <c r="H1150" i="5"/>
  <c r="F1233" i="5"/>
  <c r="R1233" i="5"/>
  <c r="E1233" i="5"/>
  <c r="X1233" i="5" s="1"/>
  <c r="S1248" i="5"/>
  <c r="AB1248" i="5"/>
  <c r="T1327" i="5"/>
  <c r="AB1327" i="5"/>
  <c r="AB840" i="5"/>
  <c r="AB863" i="5"/>
  <c r="AB881" i="5"/>
  <c r="AB885" i="5"/>
  <c r="AB899" i="5"/>
  <c r="AB905" i="5"/>
  <c r="T911" i="5"/>
  <c r="S935" i="5"/>
  <c r="J950" i="5"/>
  <c r="AB971" i="5"/>
  <c r="AB979" i="5"/>
  <c r="S981" i="5"/>
  <c r="S993" i="5"/>
  <c r="T1014" i="5"/>
  <c r="AB1022" i="5"/>
  <c r="AB1035" i="5"/>
  <c r="AB1039" i="5"/>
  <c r="AB1071" i="5"/>
  <c r="AB1083" i="5"/>
  <c r="J1087" i="5"/>
  <c r="AB1103" i="5"/>
  <c r="AB1187" i="5"/>
  <c r="S1203" i="5"/>
  <c r="S1206" i="5"/>
  <c r="AB1210" i="5"/>
  <c r="J1266" i="5"/>
  <c r="AB1270" i="5"/>
  <c r="V1290" i="5"/>
  <c r="H1290" i="5" s="1"/>
  <c r="T1293" i="5"/>
  <c r="AB1298" i="5"/>
  <c r="R1310" i="5"/>
  <c r="S1328" i="5"/>
  <c r="AB1333" i="5"/>
  <c r="T1338" i="5"/>
  <c r="T1340" i="5"/>
  <c r="V1342" i="5"/>
  <c r="R1342" i="5" s="1"/>
  <c r="H1349" i="5"/>
  <c r="I1351" i="5"/>
  <c r="T1174" i="5"/>
  <c r="J1351" i="5"/>
  <c r="AB843" i="5"/>
  <c r="AB876" i="5"/>
  <c r="AB893" i="5"/>
  <c r="AB931" i="5"/>
  <c r="AB974" i="5"/>
  <c r="AB980" i="5"/>
  <c r="S1000" i="5"/>
  <c r="AB1034" i="5"/>
  <c r="T1062" i="5"/>
  <c r="T1066" i="5"/>
  <c r="H1071" i="5"/>
  <c r="S1107" i="5"/>
  <c r="R1116" i="5"/>
  <c r="V1130" i="5"/>
  <c r="G1130" i="5" s="1"/>
  <c r="T1151" i="5"/>
  <c r="F1154" i="5"/>
  <c r="G1159" i="5"/>
  <c r="S1169" i="5"/>
  <c r="AB1174" i="5"/>
  <c r="S1195" i="5"/>
  <c r="AB1198" i="5"/>
  <c r="AB1206" i="5"/>
  <c r="I1215" i="5"/>
  <c r="AB1232" i="5"/>
  <c r="V1240" i="5"/>
  <c r="G1240" i="5" s="1"/>
  <c r="G1242" i="5"/>
  <c r="AB1265" i="5"/>
  <c r="AB1266" i="5"/>
  <c r="AB1286" i="5"/>
  <c r="AB1294" i="5"/>
  <c r="AB1299" i="5"/>
  <c r="E1313" i="5"/>
  <c r="X1313" i="5" s="1"/>
  <c r="AB1316" i="5"/>
  <c r="S956" i="5"/>
  <c r="S977" i="5"/>
  <c r="T1018" i="5"/>
  <c r="T1034" i="5"/>
  <c r="T1036" i="5"/>
  <c r="S1049" i="5"/>
  <c r="I1071" i="5"/>
  <c r="G1080" i="5"/>
  <c r="G1084" i="5"/>
  <c r="S1097" i="5"/>
  <c r="S1099" i="5"/>
  <c r="S1127" i="5"/>
  <c r="T1133" i="5"/>
  <c r="G1138" i="5"/>
  <c r="G1154" i="5"/>
  <c r="I1159" i="5"/>
  <c r="S1185" i="5"/>
  <c r="S1198" i="5"/>
  <c r="S1211" i="5"/>
  <c r="S1269" i="5"/>
  <c r="S1284" i="5"/>
  <c r="T1286" i="5"/>
  <c r="S1289" i="5"/>
  <c r="T1294" i="5"/>
  <c r="T1297" i="5"/>
  <c r="T1306" i="5"/>
  <c r="S1309" i="5"/>
  <c r="T1322" i="5"/>
  <c r="T1331" i="5"/>
  <c r="J1334" i="5"/>
  <c r="S1341" i="5"/>
  <c r="T1365" i="5"/>
  <c r="AB824" i="5"/>
  <c r="AB836" i="5"/>
  <c r="AB845" i="5"/>
  <c r="AB853" i="5"/>
  <c r="T859" i="5"/>
  <c r="G876" i="5"/>
  <c r="E878" i="5"/>
  <c r="X878" i="5" s="1"/>
  <c r="H882" i="5"/>
  <c r="AB892" i="5"/>
  <c r="AB921" i="5"/>
  <c r="T931" i="5"/>
  <c r="AB934" i="5"/>
  <c r="T941" i="5"/>
  <c r="AB945" i="5"/>
  <c r="T947" i="5"/>
  <c r="S953" i="5"/>
  <c r="AB969" i="5"/>
  <c r="S980" i="5"/>
  <c r="T1013" i="5"/>
  <c r="T1021" i="5"/>
  <c r="AB1026" i="5"/>
  <c r="J1071" i="5"/>
  <c r="AB1087" i="5"/>
  <c r="T1099" i="5"/>
  <c r="G1126" i="5"/>
  <c r="J1138" i="5"/>
  <c r="J1159" i="5"/>
  <c r="AB1166" i="5"/>
  <c r="AB1167" i="5"/>
  <c r="G1191" i="5"/>
  <c r="V1202" i="5"/>
  <c r="G1202" i="5" s="1"/>
  <c r="F1214" i="5"/>
  <c r="T1232" i="5"/>
  <c r="AB1306" i="5"/>
  <c r="G1313" i="5"/>
  <c r="S1339" i="5"/>
  <c r="H1343" i="5"/>
  <c r="G1346" i="5"/>
  <c r="T1369" i="5"/>
  <c r="I1372" i="5"/>
  <c r="AB1018" i="5"/>
  <c r="V1076" i="5"/>
  <c r="H1076" i="5" s="1"/>
  <c r="AB1133" i="5"/>
  <c r="AB1159" i="5"/>
  <c r="G1223" i="5"/>
  <c r="S864" i="5"/>
  <c r="AB913" i="5"/>
  <c r="G930" i="5"/>
  <c r="G950" i="5"/>
  <c r="AB967" i="5"/>
  <c r="AB984" i="5"/>
  <c r="AB1011" i="5"/>
  <c r="T1032" i="5"/>
  <c r="H1035" i="5"/>
  <c r="AB1050" i="5"/>
  <c r="I1063" i="5"/>
  <c r="J1067" i="5"/>
  <c r="I1079" i="5"/>
  <c r="H1087" i="5"/>
  <c r="V1092" i="5"/>
  <c r="R1092" i="5" s="1"/>
  <c r="S1095" i="5"/>
  <c r="AB1109" i="5"/>
  <c r="J1126" i="5"/>
  <c r="AB1160" i="5"/>
  <c r="AB1175" i="5"/>
  <c r="S1210" i="5"/>
  <c r="AB1214" i="5"/>
  <c r="AB1218" i="5"/>
  <c r="H1241" i="5"/>
  <c r="H1259" i="5"/>
  <c r="I1267" i="5"/>
  <c r="V1274" i="5"/>
  <c r="G1274" i="5" s="1"/>
  <c r="V1282" i="5"/>
  <c r="I1282" i="5" s="1"/>
  <c r="G1310" i="5"/>
  <c r="AB1317" i="5"/>
  <c r="S1343" i="5"/>
  <c r="T1346" i="5"/>
  <c r="G1351" i="5"/>
  <c r="AB1353" i="5"/>
  <c r="R24" i="5"/>
  <c r="R48" i="5"/>
  <c r="R84" i="5"/>
  <c r="X84" i="5"/>
  <c r="X110" i="5"/>
  <c r="R110" i="5"/>
  <c r="R54" i="5"/>
  <c r="X54" i="5"/>
  <c r="X108" i="5"/>
  <c r="X142" i="5"/>
  <c r="R142" i="5"/>
  <c r="R58" i="5"/>
  <c r="X58" i="5"/>
  <c r="X92" i="5"/>
  <c r="R92" i="5"/>
  <c r="X98" i="5"/>
  <c r="R98" i="5"/>
  <c r="R156" i="5"/>
  <c r="X162" i="5"/>
  <c r="R162" i="5"/>
  <c r="X174" i="5"/>
  <c r="R174" i="5"/>
  <c r="R88" i="5"/>
  <c r="R8" i="5"/>
  <c r="X8" i="5"/>
  <c r="R14" i="5"/>
  <c r="X14" i="5"/>
  <c r="R50" i="5"/>
  <c r="X50" i="5"/>
  <c r="X74" i="5"/>
  <c r="R74" i="5"/>
  <c r="R288" i="5"/>
  <c r="X44" i="5"/>
  <c r="R114" i="5"/>
  <c r="X114" i="5"/>
  <c r="X46" i="5"/>
  <c r="R46" i="5"/>
  <c r="R20" i="5"/>
  <c r="X20" i="5"/>
  <c r="X34" i="5"/>
  <c r="R34" i="5"/>
  <c r="R112" i="5"/>
  <c r="R138" i="5"/>
  <c r="X138" i="5"/>
  <c r="R144" i="5"/>
  <c r="X144" i="5"/>
  <c r="R252" i="5"/>
  <c r="X252" i="5"/>
  <c r="X28" i="5"/>
  <c r="R28" i="5"/>
  <c r="R70" i="5"/>
  <c r="X70" i="5"/>
  <c r="R118" i="5"/>
  <c r="X118" i="5"/>
  <c r="R164" i="5"/>
  <c r="AB55" i="5"/>
  <c r="V66" i="5"/>
  <c r="AB71" i="5"/>
  <c r="AB75" i="5"/>
  <c r="V78" i="5"/>
  <c r="R94" i="5"/>
  <c r="AB119" i="5"/>
  <c r="AB126" i="5"/>
  <c r="V126" i="5"/>
  <c r="R146" i="5"/>
  <c r="R182" i="5"/>
  <c r="R204" i="5"/>
  <c r="X204" i="5"/>
  <c r="X210" i="5"/>
  <c r="R210" i="5"/>
  <c r="V249" i="5"/>
  <c r="R275" i="5"/>
  <c r="X319" i="5"/>
  <c r="R319" i="5"/>
  <c r="AB137" i="5"/>
  <c r="AB169" i="5"/>
  <c r="AB173" i="5"/>
  <c r="AB185" i="5"/>
  <c r="V192" i="5"/>
  <c r="V205" i="5"/>
  <c r="AB278" i="5"/>
  <c r="R304" i="5"/>
  <c r="X304" i="5"/>
  <c r="AB222" i="5"/>
  <c r="R256" i="5"/>
  <c r="R312" i="5"/>
  <c r="X312" i="5"/>
  <c r="V326" i="5"/>
  <c r="AB33" i="5"/>
  <c r="AB45" i="5"/>
  <c r="X94" i="5"/>
  <c r="AB97" i="5"/>
  <c r="AB109" i="5"/>
  <c r="R150" i="5"/>
  <c r="X178" i="5"/>
  <c r="V208" i="5"/>
  <c r="X214" i="5"/>
  <c r="AB230" i="5"/>
  <c r="R240" i="5"/>
  <c r="AB245" i="5"/>
  <c r="R263" i="5"/>
  <c r="R268" i="5"/>
  <c r="R271" i="5"/>
  <c r="R295" i="5"/>
  <c r="AB310" i="5"/>
  <c r="X315" i="5"/>
  <c r="X324" i="5"/>
  <c r="X134" i="5"/>
  <c r="AB205" i="5"/>
  <c r="X264" i="5"/>
  <c r="X296" i="5"/>
  <c r="X323" i="5"/>
  <c r="R10" i="5"/>
  <c r="AB23" i="5"/>
  <c r="X26" i="5"/>
  <c r="AB39" i="5"/>
  <c r="AB43" i="5"/>
  <c r="X52" i="5"/>
  <c r="AB61" i="5"/>
  <c r="R62" i="5"/>
  <c r="X81" i="5"/>
  <c r="X82" i="5"/>
  <c r="AB87" i="5"/>
  <c r="AB103" i="5"/>
  <c r="AB107" i="5"/>
  <c r="AB121" i="5"/>
  <c r="AB129" i="5"/>
  <c r="AB141" i="5"/>
  <c r="X146" i="5"/>
  <c r="V176" i="5"/>
  <c r="R188" i="5"/>
  <c r="X188" i="5"/>
  <c r="R200" i="5"/>
  <c r="R206" i="5"/>
  <c r="AB209" i="5"/>
  <c r="V220" i="5"/>
  <c r="AB252" i="5"/>
  <c r="AB298" i="5"/>
  <c r="V310" i="5"/>
  <c r="R320" i="5"/>
  <c r="R324" i="5"/>
  <c r="X327" i="5"/>
  <c r="R327" i="5"/>
  <c r="X331" i="5"/>
  <c r="AB181" i="5"/>
  <c r="V202" i="5"/>
  <c r="AB49" i="5"/>
  <c r="AB57" i="5"/>
  <c r="X60" i="5"/>
  <c r="X76" i="5"/>
  <c r="AB113" i="5"/>
  <c r="X170" i="5"/>
  <c r="X182" i="5"/>
  <c r="X198" i="5"/>
  <c r="AB221" i="5"/>
  <c r="AB238" i="5"/>
  <c r="R260" i="5"/>
  <c r="AB264" i="5"/>
  <c r="AB296" i="5"/>
  <c r="R300" i="5"/>
  <c r="X300" i="5"/>
  <c r="V318" i="5"/>
  <c r="R232" i="5"/>
  <c r="X25" i="5"/>
  <c r="AB53" i="5"/>
  <c r="AB69" i="5"/>
  <c r="AB73" i="5"/>
  <c r="AB117" i="5"/>
  <c r="AB138" i="5"/>
  <c r="AB153" i="5"/>
  <c r="X160" i="5"/>
  <c r="AB161" i="5"/>
  <c r="R172" i="5"/>
  <c r="AB174" i="5"/>
  <c r="AB189" i="5"/>
  <c r="X190" i="5"/>
  <c r="R190" i="5"/>
  <c r="R248" i="5"/>
  <c r="R272" i="5"/>
  <c r="R279" i="5"/>
  <c r="R283" i="5"/>
  <c r="X311" i="5"/>
  <c r="R311" i="5"/>
  <c r="X332" i="5"/>
  <c r="AB237" i="5"/>
  <c r="X10" i="5"/>
  <c r="R16" i="5"/>
  <c r="R60" i="5"/>
  <c r="X62" i="5"/>
  <c r="AB77" i="5"/>
  <c r="R80" i="5"/>
  <c r="AB142" i="5"/>
  <c r="AB162" i="5"/>
  <c r="V166" i="5"/>
  <c r="R184" i="5"/>
  <c r="V212" i="5"/>
  <c r="R224" i="5"/>
  <c r="AB229" i="5"/>
  <c r="R236" i="5"/>
  <c r="AB246" i="5"/>
  <c r="R264" i="5"/>
  <c r="R292" i="5"/>
  <c r="R296" i="5"/>
  <c r="X303" i="5"/>
  <c r="R303" i="5"/>
  <c r="X316" i="5"/>
  <c r="R328" i="5"/>
  <c r="X333" i="5"/>
  <c r="R430" i="5"/>
  <c r="F430" i="5"/>
  <c r="AB158" i="5"/>
  <c r="AB194" i="5"/>
  <c r="V194" i="5"/>
  <c r="AB226" i="5"/>
  <c r="AB234" i="5"/>
  <c r="AB242" i="5"/>
  <c r="AB259" i="5"/>
  <c r="AB262" i="5"/>
  <c r="R276" i="5"/>
  <c r="V280" i="5"/>
  <c r="V294" i="5"/>
  <c r="R294" i="5" s="1"/>
  <c r="AB303" i="5"/>
  <c r="R307" i="5"/>
  <c r="R308" i="5"/>
  <c r="V322" i="5"/>
  <c r="R322" i="5" s="1"/>
  <c r="V330" i="5"/>
  <c r="AB332" i="5"/>
  <c r="AB333" i="5"/>
  <c r="AB210" i="5"/>
  <c r="AB217" i="5"/>
  <c r="AB270" i="5"/>
  <c r="AB294" i="5"/>
  <c r="AB322" i="5"/>
  <c r="AB330" i="5"/>
  <c r="AB149" i="5"/>
  <c r="AB165" i="5"/>
  <c r="AB186" i="5"/>
  <c r="AB201" i="5"/>
  <c r="AB206" i="5"/>
  <c r="X217" i="5"/>
  <c r="V218" i="5"/>
  <c r="AB219" i="5"/>
  <c r="AB286" i="5"/>
  <c r="R287" i="5"/>
  <c r="AB302" i="5"/>
  <c r="AB306" i="5"/>
  <c r="AB307" i="5"/>
  <c r="AB314" i="5"/>
  <c r="AB202" i="5"/>
  <c r="AB224" i="5"/>
  <c r="AB232" i="5"/>
  <c r="AB240" i="5"/>
  <c r="AB250" i="5"/>
  <c r="X276" i="5"/>
  <c r="X308" i="5"/>
  <c r="AB328" i="5"/>
  <c r="AB318" i="5"/>
  <c r="AB326" i="5"/>
  <c r="R338" i="5"/>
  <c r="X338" i="5"/>
  <c r="T364" i="5"/>
  <c r="AB364" i="5"/>
  <c r="S364" i="5"/>
  <c r="T398" i="5"/>
  <c r="S398" i="5"/>
  <c r="T705" i="5"/>
  <c r="S705" i="5"/>
  <c r="AB714" i="5"/>
  <c r="S714" i="5"/>
  <c r="I346" i="5"/>
  <c r="F346" i="5"/>
  <c r="V336" i="5"/>
  <c r="AB338" i="5"/>
  <c r="T410" i="5"/>
  <c r="S410" i="5"/>
  <c r="AB425" i="5"/>
  <c r="S425" i="5"/>
  <c r="T425" i="5"/>
  <c r="F505" i="5"/>
  <c r="E505" i="5"/>
  <c r="X505" i="5" s="1"/>
  <c r="T538" i="5"/>
  <c r="AB538" i="5"/>
  <c r="T601" i="5"/>
  <c r="S601" i="5"/>
  <c r="J962" i="5"/>
  <c r="H962" i="5"/>
  <c r="F962" i="5"/>
  <c r="I962" i="5"/>
  <c r="G962" i="5"/>
  <c r="T990" i="5"/>
  <c r="AB990" i="5"/>
  <c r="S461" i="5"/>
  <c r="T461" i="5"/>
  <c r="R340" i="5"/>
  <c r="T420" i="5"/>
  <c r="S420" i="5"/>
  <c r="AB420" i="5"/>
  <c r="T449" i="5"/>
  <c r="S449" i="5"/>
  <c r="T418" i="5"/>
  <c r="S418" i="5"/>
  <c r="E423" i="5"/>
  <c r="X423" i="5" s="1"/>
  <c r="J423" i="5"/>
  <c r="H423" i="5"/>
  <c r="I423" i="5"/>
  <c r="F423" i="5"/>
  <c r="T553" i="5"/>
  <c r="S553" i="5"/>
  <c r="E606" i="5"/>
  <c r="X606" i="5" s="1"/>
  <c r="H606" i="5"/>
  <c r="F606" i="5"/>
  <c r="I606" i="5"/>
  <c r="T442" i="5"/>
  <c r="AB442" i="5"/>
  <c r="T457" i="5"/>
  <c r="S457" i="5"/>
  <c r="T498" i="5"/>
  <c r="AB498" i="5"/>
  <c r="V570" i="5"/>
  <c r="G570" i="5" s="1"/>
  <c r="T604" i="5"/>
  <c r="S604" i="5"/>
  <c r="I609" i="5"/>
  <c r="G609" i="5"/>
  <c r="F609" i="5"/>
  <c r="E609" i="5"/>
  <c r="X609" i="5" s="1"/>
  <c r="R625" i="5"/>
  <c r="J625" i="5"/>
  <c r="H625" i="5"/>
  <c r="F625" i="5"/>
  <c r="T628" i="5"/>
  <c r="S628" i="5"/>
  <c r="V651" i="5"/>
  <c r="I651" i="5" s="1"/>
  <c r="AB651" i="5"/>
  <c r="S654" i="5"/>
  <c r="AB654" i="5"/>
  <c r="T654" i="5"/>
  <c r="AB680" i="5"/>
  <c r="T680" i="5"/>
  <c r="S680" i="5"/>
  <c r="V688" i="5"/>
  <c r="F688" i="5" s="1"/>
  <c r="T692" i="5"/>
  <c r="S692" i="5"/>
  <c r="T708" i="5"/>
  <c r="S708" i="5"/>
  <c r="AB744" i="5"/>
  <c r="V744" i="5"/>
  <c r="G744" i="5" s="1"/>
  <c r="G383" i="5"/>
  <c r="H383" i="5"/>
  <c r="AB384" i="5"/>
  <c r="AB392" i="5"/>
  <c r="AB402" i="5"/>
  <c r="S402" i="5"/>
  <c r="T434" i="5"/>
  <c r="AB434" i="5"/>
  <c r="AB454" i="5"/>
  <c r="V454" i="5"/>
  <c r="I454" i="5" s="1"/>
  <c r="V522" i="5"/>
  <c r="J522" i="5" s="1"/>
  <c r="G566" i="5"/>
  <c r="T569" i="5"/>
  <c r="S569" i="5"/>
  <c r="AB601" i="5"/>
  <c r="V601" i="5"/>
  <c r="F601" i="5" s="1"/>
  <c r="AB610" i="5"/>
  <c r="T610" i="5"/>
  <c r="S610" i="5"/>
  <c r="V736" i="5"/>
  <c r="G736" i="5" s="1"/>
  <c r="T739" i="5"/>
  <c r="S739" i="5"/>
  <c r="I750" i="5"/>
  <c r="J750" i="5"/>
  <c r="E750" i="5"/>
  <c r="X750" i="5" s="1"/>
  <c r="R750" i="5"/>
  <c r="R822" i="5"/>
  <c r="J822" i="5"/>
  <c r="I822" i="5"/>
  <c r="H822" i="5"/>
  <c r="F822" i="5"/>
  <c r="E822" i="5"/>
  <c r="X822" i="5" s="1"/>
  <c r="G833" i="5"/>
  <c r="I833" i="5"/>
  <c r="H833" i="5"/>
  <c r="F833" i="5"/>
  <c r="J392" i="5"/>
  <c r="E392" i="5"/>
  <c r="X392" i="5" s="1"/>
  <c r="T474" i="5"/>
  <c r="AB474" i="5"/>
  <c r="T489" i="5"/>
  <c r="S489" i="5"/>
  <c r="G506" i="5"/>
  <c r="AB509" i="5"/>
  <c r="V509" i="5"/>
  <c r="I509" i="5" s="1"/>
  <c r="T532" i="5"/>
  <c r="S532" i="5"/>
  <c r="T564" i="5"/>
  <c r="S564" i="5"/>
  <c r="V578" i="5"/>
  <c r="G578" i="5" s="1"/>
  <c r="E598" i="5"/>
  <c r="X598" i="5" s="1"/>
  <c r="I598" i="5"/>
  <c r="H598" i="5"/>
  <c r="G598" i="5"/>
  <c r="F598" i="5"/>
  <c r="G605" i="5"/>
  <c r="F605" i="5"/>
  <c r="V659" i="5"/>
  <c r="G659" i="5" s="1"/>
  <c r="AB659" i="5"/>
  <c r="AB678" i="5"/>
  <c r="V678" i="5"/>
  <c r="F678" i="5" s="1"/>
  <c r="T690" i="5"/>
  <c r="AB690" i="5"/>
  <c r="F816" i="5"/>
  <c r="E816" i="5"/>
  <c r="X816" i="5" s="1"/>
  <c r="I345" i="5"/>
  <c r="AB358" i="5"/>
  <c r="S358" i="5"/>
  <c r="T362" i="5"/>
  <c r="T366" i="5"/>
  <c r="H368" i="5"/>
  <c r="S376" i="5"/>
  <c r="V385" i="5"/>
  <c r="H385" i="5" s="1"/>
  <c r="S400" i="5"/>
  <c r="I402" i="5"/>
  <c r="AB406" i="5"/>
  <c r="S406" i="5"/>
  <c r="G415" i="5"/>
  <c r="AB446" i="5"/>
  <c r="E502" i="5"/>
  <c r="X502" i="5" s="1"/>
  <c r="H502" i="5"/>
  <c r="E506" i="5"/>
  <c r="X506" i="5" s="1"/>
  <c r="I506" i="5"/>
  <c r="H506" i="5"/>
  <c r="F506" i="5"/>
  <c r="AB516" i="5"/>
  <c r="T516" i="5"/>
  <c r="S516" i="5"/>
  <c r="T529" i="5"/>
  <c r="S529" i="5"/>
  <c r="T546" i="5"/>
  <c r="AB546" i="5"/>
  <c r="E566" i="5"/>
  <c r="X566" i="5" s="1"/>
  <c r="H566" i="5"/>
  <c r="F566" i="5"/>
  <c r="T590" i="5"/>
  <c r="AB590" i="5"/>
  <c r="V602" i="5"/>
  <c r="G602" i="5" s="1"/>
  <c r="T617" i="5"/>
  <c r="AB617" i="5"/>
  <c r="S617" i="5"/>
  <c r="V647" i="5"/>
  <c r="H647" i="5" s="1"/>
  <c r="AB647" i="5"/>
  <c r="S682" i="5"/>
  <c r="AB682" i="5"/>
  <c r="T682" i="5"/>
  <c r="F690" i="5"/>
  <c r="E690" i="5"/>
  <c r="X690" i="5" s="1"/>
  <c r="E717" i="5"/>
  <c r="X717" i="5" s="1"/>
  <c r="R717" i="5"/>
  <c r="J717" i="5"/>
  <c r="H717" i="5"/>
  <c r="F717" i="5"/>
  <c r="J345" i="5"/>
  <c r="AB347" i="5"/>
  <c r="T360" i="5"/>
  <c r="I368" i="5"/>
  <c r="AB370" i="5"/>
  <c r="T370" i="5"/>
  <c r="V371" i="5"/>
  <c r="G371" i="5" s="1"/>
  <c r="AB376" i="5"/>
  <c r="J381" i="5"/>
  <c r="T400" i="5"/>
  <c r="T402" i="5"/>
  <c r="T466" i="5"/>
  <c r="AB466" i="5"/>
  <c r="AB486" i="5"/>
  <c r="V486" i="5"/>
  <c r="I486" i="5" s="1"/>
  <c r="F502" i="5"/>
  <c r="AB506" i="5"/>
  <c r="AB512" i="5"/>
  <c r="S512" i="5"/>
  <c r="AB529" i="5"/>
  <c r="V529" i="5"/>
  <c r="F529" i="5" s="1"/>
  <c r="AB541" i="5"/>
  <c r="V541" i="5"/>
  <c r="R541" i="5" s="1"/>
  <c r="V546" i="5"/>
  <c r="G546" i="5" s="1"/>
  <c r="T556" i="5"/>
  <c r="S556" i="5"/>
  <c r="T585" i="5"/>
  <c r="S585" i="5"/>
  <c r="V590" i="5"/>
  <c r="R590" i="5" s="1"/>
  <c r="T663" i="5"/>
  <c r="AB663" i="5"/>
  <c r="S663" i="5"/>
  <c r="E693" i="5"/>
  <c r="X693" i="5" s="1"/>
  <c r="J693" i="5"/>
  <c r="R770" i="5"/>
  <c r="F770" i="5"/>
  <c r="E770" i="5"/>
  <c r="X770" i="5" s="1"/>
  <c r="J770" i="5"/>
  <c r="I770" i="5"/>
  <c r="T358" i="5"/>
  <c r="AB360" i="5"/>
  <c r="AB372" i="5"/>
  <c r="G375" i="5"/>
  <c r="AB382" i="5"/>
  <c r="T382" i="5"/>
  <c r="AB386" i="5"/>
  <c r="S386" i="5"/>
  <c r="V387" i="5"/>
  <c r="G387" i="5" s="1"/>
  <c r="R399" i="5"/>
  <c r="R411" i="5"/>
  <c r="F411" i="5"/>
  <c r="AB415" i="5"/>
  <c r="AB463" i="5"/>
  <c r="S481" i="5"/>
  <c r="T493" i="5"/>
  <c r="G502" i="5"/>
  <c r="AB505" i="5"/>
  <c r="G505" i="5"/>
  <c r="T524" i="5"/>
  <c r="S524" i="5"/>
  <c r="E526" i="5"/>
  <c r="X526" i="5" s="1"/>
  <c r="I526" i="5"/>
  <c r="H526" i="5"/>
  <c r="F526" i="5"/>
  <c r="AB561" i="5"/>
  <c r="V561" i="5"/>
  <c r="F561" i="5" s="1"/>
  <c r="AB585" i="5"/>
  <c r="V585" i="5"/>
  <c r="E585" i="5" s="1"/>
  <c r="X585" i="5" s="1"/>
  <c r="V663" i="5"/>
  <c r="G663" i="5" s="1"/>
  <c r="AB676" i="5"/>
  <c r="T676" i="5"/>
  <c r="S676" i="5"/>
  <c r="I720" i="5"/>
  <c r="H720" i="5"/>
  <c r="R785" i="5"/>
  <c r="I785" i="5"/>
  <c r="R793" i="5"/>
  <c r="I793" i="5"/>
  <c r="AB344" i="5"/>
  <c r="E347" i="5"/>
  <c r="X347" i="5" s="1"/>
  <c r="R363" i="5"/>
  <c r="R367" i="5"/>
  <c r="S370" i="5"/>
  <c r="I372" i="5"/>
  <c r="E372" i="5"/>
  <c r="X372" i="5" s="1"/>
  <c r="AB380" i="5"/>
  <c r="S380" i="5"/>
  <c r="G391" i="5"/>
  <c r="S404" i="5"/>
  <c r="T406" i="5"/>
  <c r="AB412" i="5"/>
  <c r="S412" i="5"/>
  <c r="AB478" i="5"/>
  <c r="I502" i="5"/>
  <c r="T512" i="5"/>
  <c r="V530" i="5"/>
  <c r="G530" i="5" s="1"/>
  <c r="T570" i="5"/>
  <c r="AB570" i="5"/>
  <c r="AB580" i="5"/>
  <c r="T580" i="5"/>
  <c r="S580" i="5"/>
  <c r="E582" i="5"/>
  <c r="X582" i="5" s="1"/>
  <c r="I582" i="5"/>
  <c r="H582" i="5"/>
  <c r="G582" i="5"/>
  <c r="F582" i="5"/>
  <c r="G606" i="5"/>
  <c r="S609" i="5"/>
  <c r="T609" i="5"/>
  <c r="T615" i="5"/>
  <c r="AB615" i="5"/>
  <c r="V631" i="5"/>
  <c r="F631" i="5" s="1"/>
  <c r="AB631" i="5"/>
  <c r="T667" i="5"/>
  <c r="AB667" i="5"/>
  <c r="S667" i="5"/>
  <c r="AB688" i="5"/>
  <c r="T688" i="5"/>
  <c r="S688" i="5"/>
  <c r="G720" i="5"/>
  <c r="T749" i="5"/>
  <c r="AB749" i="5"/>
  <c r="AB390" i="5"/>
  <c r="AB414" i="5"/>
  <c r="AB419" i="5"/>
  <c r="AB458" i="5"/>
  <c r="AB490" i="5"/>
  <c r="V518" i="5"/>
  <c r="G518" i="5" s="1"/>
  <c r="V534" i="5"/>
  <c r="G534" i="5" s="1"/>
  <c r="AB548" i="5"/>
  <c r="V549" i="5"/>
  <c r="F549" i="5" s="1"/>
  <c r="AB550" i="5"/>
  <c r="AB553" i="5"/>
  <c r="H554" i="5"/>
  <c r="H562" i="5"/>
  <c r="V565" i="5"/>
  <c r="F565" i="5" s="1"/>
  <c r="AB566" i="5"/>
  <c r="AB569" i="5"/>
  <c r="V574" i="5"/>
  <c r="J574" i="5" s="1"/>
  <c r="I586" i="5"/>
  <c r="I594" i="5"/>
  <c r="AB606" i="5"/>
  <c r="AB618" i="5"/>
  <c r="J630" i="5"/>
  <c r="V638" i="5"/>
  <c r="R638" i="5" s="1"/>
  <c r="AB639" i="5"/>
  <c r="AB643" i="5"/>
  <c r="AB674" i="5"/>
  <c r="AB684" i="5"/>
  <c r="AB686" i="5"/>
  <c r="AB694" i="5"/>
  <c r="AB706" i="5"/>
  <c r="S706" i="5"/>
  <c r="T723" i="5"/>
  <c r="S723" i="5"/>
  <c r="E725" i="5"/>
  <c r="X725" i="5" s="1"/>
  <c r="R725" i="5"/>
  <c r="J725" i="5"/>
  <c r="F725" i="5"/>
  <c r="R754" i="5"/>
  <c r="J754" i="5"/>
  <c r="H754" i="5"/>
  <c r="F754" i="5"/>
  <c r="AB803" i="5"/>
  <c r="S803" i="5"/>
  <c r="T805" i="5"/>
  <c r="AB805" i="5"/>
  <c r="I810" i="5"/>
  <c r="H810" i="5"/>
  <c r="F810" i="5"/>
  <c r="E810" i="5"/>
  <c r="X810" i="5" s="1"/>
  <c r="R810" i="5"/>
  <c r="T823" i="5"/>
  <c r="S823" i="5"/>
  <c r="I825" i="5"/>
  <c r="H825" i="5"/>
  <c r="R858" i="5"/>
  <c r="F858" i="5"/>
  <c r="J858" i="5"/>
  <c r="I858" i="5"/>
  <c r="H858" i="5"/>
  <c r="E858" i="5"/>
  <c r="X858" i="5" s="1"/>
  <c r="V920" i="5"/>
  <c r="F920" i="5" s="1"/>
  <c r="AB574" i="5"/>
  <c r="S630" i="5"/>
  <c r="T731" i="5"/>
  <c r="S731" i="5"/>
  <c r="R761" i="5"/>
  <c r="I761" i="5"/>
  <c r="V777" i="5"/>
  <c r="G777" i="5" s="1"/>
  <c r="V829" i="5"/>
  <c r="G829" i="5" s="1"/>
  <c r="J838" i="5"/>
  <c r="I838" i="5"/>
  <c r="H838" i="5"/>
  <c r="F838" i="5"/>
  <c r="E838" i="5"/>
  <c r="X838" i="5" s="1"/>
  <c r="G865" i="5"/>
  <c r="F865" i="5"/>
  <c r="I865" i="5"/>
  <c r="H865" i="5"/>
  <c r="J906" i="5"/>
  <c r="I906" i="5"/>
  <c r="E906" i="5"/>
  <c r="X906" i="5" s="1"/>
  <c r="R906" i="5"/>
  <c r="H906" i="5"/>
  <c r="F906" i="5"/>
  <c r="T985" i="5"/>
  <c r="S985" i="5"/>
  <c r="AB396" i="5"/>
  <c r="AB528" i="5"/>
  <c r="AB542" i="5"/>
  <c r="AB545" i="5"/>
  <c r="AB586" i="5"/>
  <c r="AB589" i="5"/>
  <c r="AB594" i="5"/>
  <c r="AB597" i="5"/>
  <c r="AB600" i="5"/>
  <c r="T630" i="5"/>
  <c r="AB660" i="5"/>
  <c r="G671" i="5"/>
  <c r="G715" i="5"/>
  <c r="J715" i="5"/>
  <c r="F715" i="5"/>
  <c r="AB724" i="5"/>
  <c r="T724" i="5"/>
  <c r="G769" i="5"/>
  <c r="AB772" i="5"/>
  <c r="T772" i="5"/>
  <c r="H805" i="5"/>
  <c r="I805" i="5"/>
  <c r="F805" i="5"/>
  <c r="G873" i="5"/>
  <c r="F873" i="5"/>
  <c r="I873" i="5"/>
  <c r="H873" i="5"/>
  <c r="G909" i="5"/>
  <c r="I909" i="5"/>
  <c r="F909" i="5"/>
  <c r="H909" i="5"/>
  <c r="T929" i="5"/>
  <c r="S929" i="5"/>
  <c r="S540" i="5"/>
  <c r="S545" i="5"/>
  <c r="S560" i="5"/>
  <c r="AB704" i="5"/>
  <c r="S704" i="5"/>
  <c r="E721" i="5"/>
  <c r="X721" i="5" s="1"/>
  <c r="J721" i="5"/>
  <c r="I721" i="5"/>
  <c r="H721" i="5"/>
  <c r="T735" i="5"/>
  <c r="S735" i="5"/>
  <c r="T743" i="5"/>
  <c r="S743" i="5"/>
  <c r="T767" i="5"/>
  <c r="S767" i="5"/>
  <c r="R769" i="5"/>
  <c r="I769" i="5"/>
  <c r="I774" i="5"/>
  <c r="R774" i="5"/>
  <c r="R778" i="5"/>
  <c r="J778" i="5"/>
  <c r="I778" i="5"/>
  <c r="F778" i="5"/>
  <c r="E778" i="5"/>
  <c r="X778" i="5" s="1"/>
  <c r="R826" i="5"/>
  <c r="J826" i="5"/>
  <c r="I826" i="5"/>
  <c r="H826" i="5"/>
  <c r="F826" i="5"/>
  <c r="E826" i="5"/>
  <c r="X826" i="5" s="1"/>
  <c r="V844" i="5"/>
  <c r="F844" i="5" s="1"/>
  <c r="AB374" i="5"/>
  <c r="S445" i="5"/>
  <c r="S477" i="5"/>
  <c r="S508" i="5"/>
  <c r="S513" i="5"/>
  <c r="I514" i="5"/>
  <c r="V521" i="5"/>
  <c r="H521" i="5" s="1"/>
  <c r="AB522" i="5"/>
  <c r="AB525" i="5"/>
  <c r="S528" i="5"/>
  <c r="AB530" i="5"/>
  <c r="AB533" i="5"/>
  <c r="AB536" i="5"/>
  <c r="I538" i="5"/>
  <c r="S557" i="5"/>
  <c r="T560" i="5"/>
  <c r="AB576" i="5"/>
  <c r="V577" i="5"/>
  <c r="G577" i="5" s="1"/>
  <c r="AB578" i="5"/>
  <c r="AB581" i="5"/>
  <c r="S584" i="5"/>
  <c r="G597" i="5"/>
  <c r="S600" i="5"/>
  <c r="AB602" i="5"/>
  <c r="AB605" i="5"/>
  <c r="S614" i="5"/>
  <c r="S616" i="5"/>
  <c r="S634" i="5"/>
  <c r="AB635" i="5"/>
  <c r="G639" i="5"/>
  <c r="AB642" i="5"/>
  <c r="AB646" i="5"/>
  <c r="AB650" i="5"/>
  <c r="T656" i="5"/>
  <c r="AB658" i="5"/>
  <c r="S660" i="5"/>
  <c r="T666" i="5"/>
  <c r="AB671" i="5"/>
  <c r="S675" i="5"/>
  <c r="G679" i="5"/>
  <c r="S695" i="5"/>
  <c r="AB697" i="5"/>
  <c r="E701" i="5"/>
  <c r="X701" i="5" s="1"/>
  <c r="I701" i="5"/>
  <c r="S707" i="5"/>
  <c r="F721" i="5"/>
  <c r="AB732" i="5"/>
  <c r="V732" i="5"/>
  <c r="F732" i="5" s="1"/>
  <c r="I758" i="5"/>
  <c r="R758" i="5"/>
  <c r="J758" i="5"/>
  <c r="J774" i="5"/>
  <c r="H778" i="5"/>
  <c r="R789" i="5"/>
  <c r="I789" i="5"/>
  <c r="H798" i="5"/>
  <c r="F798" i="5"/>
  <c r="E798" i="5"/>
  <c r="X798" i="5" s="1"/>
  <c r="R798" i="5"/>
  <c r="J798" i="5"/>
  <c r="I806" i="5"/>
  <c r="H806" i="5"/>
  <c r="F806" i="5"/>
  <c r="E806" i="5"/>
  <c r="X806" i="5" s="1"/>
  <c r="R806" i="5"/>
  <c r="G841" i="5"/>
  <c r="I841" i="5"/>
  <c r="H841" i="5"/>
  <c r="F841" i="5"/>
  <c r="E846" i="5"/>
  <c r="X846" i="5" s="1"/>
  <c r="R846" i="5"/>
  <c r="J846" i="5"/>
  <c r="I846" i="5"/>
  <c r="H846" i="5"/>
  <c r="T849" i="5"/>
  <c r="AB849" i="5"/>
  <c r="I910" i="5"/>
  <c r="F910" i="5"/>
  <c r="E910" i="5"/>
  <c r="X910" i="5" s="1"/>
  <c r="R910" i="5"/>
  <c r="J910" i="5"/>
  <c r="H910" i="5"/>
  <c r="E918" i="5"/>
  <c r="X918" i="5" s="1"/>
  <c r="R918" i="5"/>
  <c r="H918" i="5"/>
  <c r="J918" i="5"/>
  <c r="I918" i="5"/>
  <c r="F918" i="5"/>
  <c r="E934" i="5"/>
  <c r="X934" i="5" s="1"/>
  <c r="R934" i="5"/>
  <c r="J934" i="5"/>
  <c r="F934" i="5"/>
  <c r="I934" i="5"/>
  <c r="H934" i="5"/>
  <c r="AB403" i="5"/>
  <c r="AB462" i="5"/>
  <c r="AB494" i="5"/>
  <c r="S497" i="5"/>
  <c r="T528" i="5"/>
  <c r="AB544" i="5"/>
  <c r="V545" i="5"/>
  <c r="G545" i="5" s="1"/>
  <c r="S568" i="5"/>
  <c r="F586" i="5"/>
  <c r="AB588" i="5"/>
  <c r="V589" i="5"/>
  <c r="J589" i="5" s="1"/>
  <c r="F594" i="5"/>
  <c r="T600" i="5"/>
  <c r="S608" i="5"/>
  <c r="S632" i="5"/>
  <c r="S648" i="5"/>
  <c r="T660" i="5"/>
  <c r="AB662" i="5"/>
  <c r="S664" i="5"/>
  <c r="T670" i="5"/>
  <c r="AB672" i="5"/>
  <c r="AB675" i="5"/>
  <c r="S679" i="5"/>
  <c r="S687" i="5"/>
  <c r="AB689" i="5"/>
  <c r="T704" i="5"/>
  <c r="R721" i="5"/>
  <c r="S724" i="5"/>
  <c r="AB736" i="5"/>
  <c r="T759" i="5"/>
  <c r="S759" i="5"/>
  <c r="R762" i="5"/>
  <c r="J762" i="5"/>
  <c r="I762" i="5"/>
  <c r="H762" i="5"/>
  <c r="F762" i="5"/>
  <c r="S772" i="5"/>
  <c r="AB778" i="5"/>
  <c r="AB783" i="5"/>
  <c r="S783" i="5"/>
  <c r="J806" i="5"/>
  <c r="G809" i="5"/>
  <c r="AB812" i="5"/>
  <c r="S812" i="5"/>
  <c r="G816" i="5"/>
  <c r="F846" i="5"/>
  <c r="E854" i="5"/>
  <c r="X854" i="5" s="1"/>
  <c r="J854" i="5"/>
  <c r="R854" i="5"/>
  <c r="I854" i="5"/>
  <c r="H854" i="5"/>
  <c r="F854" i="5"/>
  <c r="J862" i="5"/>
  <c r="E862" i="5"/>
  <c r="X862" i="5" s="1"/>
  <c r="I862" i="5"/>
  <c r="H862" i="5"/>
  <c r="F862" i="5"/>
  <c r="R874" i="5"/>
  <c r="J874" i="5"/>
  <c r="F874" i="5"/>
  <c r="I874" i="5"/>
  <c r="H874" i="5"/>
  <c r="E874" i="5"/>
  <c r="X874" i="5" s="1"/>
  <c r="G900" i="5"/>
  <c r="F900" i="5"/>
  <c r="J790" i="5"/>
  <c r="I790" i="5"/>
  <c r="H790" i="5"/>
  <c r="F790" i="5"/>
  <c r="R802" i="5"/>
  <c r="J802" i="5"/>
  <c r="I802" i="5"/>
  <c r="F802" i="5"/>
  <c r="E802" i="5"/>
  <c r="X802" i="5" s="1"/>
  <c r="I809" i="5"/>
  <c r="H809" i="5"/>
  <c r="F809" i="5"/>
  <c r="G837" i="5"/>
  <c r="I837" i="5"/>
  <c r="H837" i="5"/>
  <c r="F837" i="5"/>
  <c r="I842" i="5"/>
  <c r="H842" i="5"/>
  <c r="F842" i="5"/>
  <c r="E842" i="5"/>
  <c r="X842" i="5" s="1"/>
  <c r="R842" i="5"/>
  <c r="T855" i="5"/>
  <c r="S855" i="5"/>
  <c r="G857" i="5"/>
  <c r="F857" i="5"/>
  <c r="I857" i="5"/>
  <c r="H857" i="5"/>
  <c r="G885" i="5"/>
  <c r="I885" i="5"/>
  <c r="H885" i="5"/>
  <c r="F885" i="5"/>
  <c r="G913" i="5"/>
  <c r="F913" i="5"/>
  <c r="I913" i="5"/>
  <c r="H913" i="5"/>
  <c r="S709" i="5"/>
  <c r="J713" i="5"/>
  <c r="AB720" i="5"/>
  <c r="J751" i="5"/>
  <c r="AB762" i="5"/>
  <c r="R766" i="5"/>
  <c r="T780" i="5"/>
  <c r="R782" i="5"/>
  <c r="I786" i="5"/>
  <c r="F794" i="5"/>
  <c r="AB796" i="5"/>
  <c r="T800" i="5"/>
  <c r="AB809" i="5"/>
  <c r="G812" i="5"/>
  <c r="V813" i="5"/>
  <c r="E813" i="5" s="1"/>
  <c r="X813" i="5" s="1"/>
  <c r="J814" i="5"/>
  <c r="AB816" i="5"/>
  <c r="V818" i="5"/>
  <c r="G818" i="5" s="1"/>
  <c r="T820" i="5"/>
  <c r="F830" i="5"/>
  <c r="F834" i="5"/>
  <c r="V836" i="5"/>
  <c r="F836" i="5" s="1"/>
  <c r="T840" i="5"/>
  <c r="AB841" i="5"/>
  <c r="H845" i="5"/>
  <c r="T847" i="5"/>
  <c r="I850" i="5"/>
  <c r="AB860" i="5"/>
  <c r="S860" i="5"/>
  <c r="I861" i="5"/>
  <c r="AB871" i="5"/>
  <c r="T871" i="5"/>
  <c r="AB875" i="5"/>
  <c r="S875" i="5"/>
  <c r="F894" i="5"/>
  <c r="E922" i="5"/>
  <c r="X922" i="5" s="1"/>
  <c r="AB929" i="5"/>
  <c r="V946" i="5"/>
  <c r="G946" i="5" s="1"/>
  <c r="T958" i="5"/>
  <c r="AB958" i="5"/>
  <c r="T965" i="5"/>
  <c r="S965" i="5"/>
  <c r="T973" i="5"/>
  <c r="S973" i="5"/>
  <c r="T978" i="5"/>
  <c r="AB978" i="5"/>
  <c r="R999" i="5"/>
  <c r="I999" i="5"/>
  <c r="H999" i="5"/>
  <c r="V1010" i="5"/>
  <c r="G1010" i="5" s="1"/>
  <c r="I1018" i="5"/>
  <c r="F1018" i="5"/>
  <c r="T1119" i="5"/>
  <c r="S1119" i="5"/>
  <c r="AB710" i="5"/>
  <c r="F724" i="5"/>
  <c r="S728" i="5"/>
  <c r="AB756" i="5"/>
  <c r="AB768" i="5"/>
  <c r="J786" i="5"/>
  <c r="H794" i="5"/>
  <c r="R814" i="5"/>
  <c r="H830" i="5"/>
  <c r="H834" i="5"/>
  <c r="AB839" i="5"/>
  <c r="I845" i="5"/>
  <c r="AB848" i="5"/>
  <c r="T857" i="5"/>
  <c r="AB857" i="5"/>
  <c r="AB868" i="5"/>
  <c r="T868" i="5"/>
  <c r="G869" i="5"/>
  <c r="H869" i="5"/>
  <c r="G896" i="5"/>
  <c r="G901" i="5"/>
  <c r="F901" i="5"/>
  <c r="R902" i="5"/>
  <c r="J902" i="5"/>
  <c r="F902" i="5"/>
  <c r="F908" i="5"/>
  <c r="V912" i="5"/>
  <c r="G912" i="5" s="1"/>
  <c r="T917" i="5"/>
  <c r="AB917" i="5"/>
  <c r="V954" i="5"/>
  <c r="H954" i="5" s="1"/>
  <c r="AB968" i="5"/>
  <c r="T968" i="5"/>
  <c r="AB973" i="5"/>
  <c r="AB983" i="5"/>
  <c r="AB988" i="5"/>
  <c r="S988" i="5"/>
  <c r="G999" i="5"/>
  <c r="V1195" i="5"/>
  <c r="G1195" i="5" s="1"/>
  <c r="F850" i="5"/>
  <c r="R850" i="5"/>
  <c r="R894" i="5"/>
  <c r="I894" i="5"/>
  <c r="H894" i="5"/>
  <c r="G905" i="5"/>
  <c r="I905" i="5"/>
  <c r="T927" i="5"/>
  <c r="S927" i="5"/>
  <c r="E994" i="5"/>
  <c r="X994" i="5" s="1"/>
  <c r="I994" i="5"/>
  <c r="F994" i="5"/>
  <c r="T1041" i="5"/>
  <c r="S1041" i="5"/>
  <c r="AB770" i="5"/>
  <c r="G825" i="5"/>
  <c r="AB832" i="5"/>
  <c r="G848" i="5"/>
  <c r="G849" i="5"/>
  <c r="F849" i="5"/>
  <c r="AB856" i="5"/>
  <c r="T856" i="5"/>
  <c r="T865" i="5"/>
  <c r="AB865" i="5"/>
  <c r="G868" i="5"/>
  <c r="R870" i="5"/>
  <c r="H870" i="5"/>
  <c r="AB872" i="5"/>
  <c r="T872" i="5"/>
  <c r="S872" i="5"/>
  <c r="G877" i="5"/>
  <c r="H877" i="5"/>
  <c r="F877" i="5"/>
  <c r="T879" i="5"/>
  <c r="S879" i="5"/>
  <c r="V888" i="5"/>
  <c r="F888" i="5" s="1"/>
  <c r="AB900" i="5"/>
  <c r="T900" i="5"/>
  <c r="S900" i="5"/>
  <c r="F905" i="5"/>
  <c r="R922" i="5"/>
  <c r="I922" i="5"/>
  <c r="H922" i="5"/>
  <c r="G994" i="5"/>
  <c r="I1006" i="5"/>
  <c r="H1006" i="5"/>
  <c r="T1111" i="5"/>
  <c r="S1111" i="5"/>
  <c r="T710" i="5"/>
  <c r="AB719" i="5"/>
  <c r="V753" i="5"/>
  <c r="H753" i="5" s="1"/>
  <c r="S756" i="5"/>
  <c r="G761" i="5"/>
  <c r="AB764" i="5"/>
  <c r="AB765" i="5"/>
  <c r="G767" i="5"/>
  <c r="T768" i="5"/>
  <c r="AB776" i="5"/>
  <c r="AB781" i="5"/>
  <c r="G783" i="5"/>
  <c r="G792" i="5"/>
  <c r="V796" i="5"/>
  <c r="G796" i="5" s="1"/>
  <c r="E814" i="5"/>
  <c r="X814" i="5" s="1"/>
  <c r="S828" i="5"/>
  <c r="AB829" i="5"/>
  <c r="S832" i="5"/>
  <c r="AB833" i="5"/>
  <c r="T839" i="5"/>
  <c r="S843" i="5"/>
  <c r="S848" i="5"/>
  <c r="F853" i="5"/>
  <c r="T863" i="5"/>
  <c r="S868" i="5"/>
  <c r="E870" i="5"/>
  <c r="X870" i="5" s="1"/>
  <c r="AB877" i="5"/>
  <c r="F881" i="5"/>
  <c r="J890" i="5"/>
  <c r="I890" i="5"/>
  <c r="E890" i="5"/>
  <c r="X890" i="5" s="1"/>
  <c r="V893" i="5"/>
  <c r="R893" i="5" s="1"/>
  <c r="H905" i="5"/>
  <c r="T909" i="5"/>
  <c r="AB909" i="5"/>
  <c r="AB941" i="5"/>
  <c r="AB949" i="5"/>
  <c r="S955" i="5"/>
  <c r="H958" i="5"/>
  <c r="J958" i="5"/>
  <c r="I958" i="5"/>
  <c r="T969" i="5"/>
  <c r="S969" i="5"/>
  <c r="H994" i="5"/>
  <c r="S998" i="5"/>
  <c r="AB998" i="5"/>
  <c r="S1054" i="5"/>
  <c r="T1054" i="5"/>
  <c r="AB1054" i="5"/>
  <c r="R1185" i="5"/>
  <c r="J1185" i="5"/>
  <c r="S752" i="5"/>
  <c r="AB754" i="5"/>
  <c r="H767" i="5"/>
  <c r="H783" i="5"/>
  <c r="E786" i="5"/>
  <c r="X786" i="5" s="1"/>
  <c r="S792" i="5"/>
  <c r="S811" i="5"/>
  <c r="F814" i="5"/>
  <c r="AB821" i="5"/>
  <c r="T843" i="5"/>
  <c r="T851" i="5"/>
  <c r="H853" i="5"/>
  <c r="F866" i="5"/>
  <c r="E866" i="5"/>
  <c r="X866" i="5" s="1"/>
  <c r="R866" i="5"/>
  <c r="T869" i="5"/>
  <c r="AB869" i="5"/>
  <c r="F870" i="5"/>
  <c r="AB880" i="5"/>
  <c r="S880" i="5"/>
  <c r="H881" i="5"/>
  <c r="S884" i="5"/>
  <c r="G897" i="5"/>
  <c r="H897" i="5"/>
  <c r="AB904" i="5"/>
  <c r="S904" i="5"/>
  <c r="S907" i="5"/>
  <c r="G917" i="5"/>
  <c r="H917" i="5"/>
  <c r="S919" i="5"/>
  <c r="V921" i="5"/>
  <c r="J921" i="5" s="1"/>
  <c r="G925" i="5"/>
  <c r="H925" i="5"/>
  <c r="F925" i="5"/>
  <c r="AB955" i="5"/>
  <c r="AB961" i="5"/>
  <c r="AB972" i="5"/>
  <c r="T972" i="5"/>
  <c r="AB977" i="5"/>
  <c r="V977" i="5"/>
  <c r="G977" i="5" s="1"/>
  <c r="R1007" i="5"/>
  <c r="I1007" i="5"/>
  <c r="H1007" i="5"/>
  <c r="AB1028" i="5"/>
  <c r="S1028" i="5"/>
  <c r="T1028" i="5"/>
  <c r="V1042" i="5"/>
  <c r="G1042" i="5" s="1"/>
  <c r="AB1042" i="5"/>
  <c r="S1121" i="5"/>
  <c r="AB1121" i="5"/>
  <c r="T1121" i="5"/>
  <c r="H1141" i="5"/>
  <c r="F1141" i="5"/>
  <c r="E1141" i="5"/>
  <c r="X1141" i="5" s="1"/>
  <c r="AB711" i="5"/>
  <c r="AB715" i="5"/>
  <c r="AB733" i="5"/>
  <c r="G751" i="5"/>
  <c r="T752" i="5"/>
  <c r="AB760" i="5"/>
  <c r="AB788" i="5"/>
  <c r="T792" i="5"/>
  <c r="T811" i="5"/>
  <c r="T816" i="5"/>
  <c r="S824" i="5"/>
  <c r="AB825" i="5"/>
  <c r="AB831" i="5"/>
  <c r="AB835" i="5"/>
  <c r="S836" i="5"/>
  <c r="AB844" i="5"/>
  <c r="E850" i="5"/>
  <c r="X850" i="5" s="1"/>
  <c r="AB852" i="5"/>
  <c r="S852" i="5"/>
  <c r="I853" i="5"/>
  <c r="F861" i="5"/>
  <c r="AB867" i="5"/>
  <c r="S867" i="5"/>
  <c r="I870" i="5"/>
  <c r="T873" i="5"/>
  <c r="AB873" i="5"/>
  <c r="S876" i="5"/>
  <c r="H878" i="5"/>
  <c r="F878" i="5"/>
  <c r="I881" i="5"/>
  <c r="E882" i="5"/>
  <c r="X882" i="5" s="1"/>
  <c r="J882" i="5"/>
  <c r="T884" i="5"/>
  <c r="F897" i="5"/>
  <c r="H898" i="5"/>
  <c r="E898" i="5"/>
  <c r="X898" i="5" s="1"/>
  <c r="J898" i="5"/>
  <c r="E902" i="5"/>
  <c r="X902" i="5" s="1"/>
  <c r="T907" i="5"/>
  <c r="AB920" i="5"/>
  <c r="T920" i="5"/>
  <c r="I925" i="5"/>
  <c r="T957" i="5"/>
  <c r="R964" i="5"/>
  <c r="E964" i="5"/>
  <c r="X964" i="5" s="1"/>
  <c r="V969" i="5"/>
  <c r="R969" i="5" s="1"/>
  <c r="F995" i="5"/>
  <c r="I995" i="5"/>
  <c r="R995" i="5"/>
  <c r="V1031" i="5"/>
  <c r="G1031" i="5" s="1"/>
  <c r="AB1031" i="5"/>
  <c r="S1046" i="5"/>
  <c r="T1046" i="5"/>
  <c r="E1054" i="5"/>
  <c r="X1054" i="5" s="1"/>
  <c r="I1054" i="5"/>
  <c r="H1054" i="5"/>
  <c r="F1054" i="5"/>
  <c r="T1115" i="5"/>
  <c r="S1115" i="5"/>
  <c r="T864" i="5"/>
  <c r="AB888" i="5"/>
  <c r="AB895" i="5"/>
  <c r="T908" i="5"/>
  <c r="AB916" i="5"/>
  <c r="AB939" i="5"/>
  <c r="I942" i="5"/>
  <c r="I950" i="5"/>
  <c r="AB957" i="5"/>
  <c r="AB981" i="5"/>
  <c r="AB982" i="5"/>
  <c r="AB985" i="5"/>
  <c r="AB987" i="5"/>
  <c r="T989" i="5"/>
  <c r="G1005" i="5"/>
  <c r="AB1006" i="5"/>
  <c r="G1009" i="5"/>
  <c r="AB1037" i="5"/>
  <c r="T1037" i="5"/>
  <c r="S1037" i="5"/>
  <c r="G1046" i="5"/>
  <c r="G1179" i="5"/>
  <c r="J1179" i="5"/>
  <c r="I1179" i="5"/>
  <c r="F1179" i="5"/>
  <c r="R1003" i="5"/>
  <c r="J1003" i="5"/>
  <c r="AB1033" i="5"/>
  <c r="T1033" i="5"/>
  <c r="S1033" i="5"/>
  <c r="V1037" i="5"/>
  <c r="F1037" i="5" s="1"/>
  <c r="I1046" i="5"/>
  <c r="H1046" i="5"/>
  <c r="F1046" i="5"/>
  <c r="V1058" i="5"/>
  <c r="G1058" i="5" s="1"/>
  <c r="E1106" i="5"/>
  <c r="X1106" i="5" s="1"/>
  <c r="R1106" i="5"/>
  <c r="J1106" i="5"/>
  <c r="H1106" i="5"/>
  <c r="F1106" i="5"/>
  <c r="V1114" i="5"/>
  <c r="G1114" i="5" s="1"/>
  <c r="H1133" i="5"/>
  <c r="E1133" i="5"/>
  <c r="X1133" i="5" s="1"/>
  <c r="AB993" i="5"/>
  <c r="V993" i="5"/>
  <c r="F993" i="5" s="1"/>
  <c r="S1001" i="5"/>
  <c r="F1009" i="5"/>
  <c r="E1009" i="5"/>
  <c r="X1009" i="5" s="1"/>
  <c r="H1014" i="5"/>
  <c r="V1038" i="5"/>
  <c r="E1038" i="5" s="1"/>
  <c r="X1038" i="5" s="1"/>
  <c r="V1041" i="5"/>
  <c r="G1041" i="5" s="1"/>
  <c r="I1118" i="5"/>
  <c r="R1118" i="5"/>
  <c r="J1118" i="5"/>
  <c r="H1118" i="5"/>
  <c r="G1118" i="5"/>
  <c r="F1118" i="5"/>
  <c r="T1158" i="5"/>
  <c r="S1158" i="5"/>
  <c r="H1230" i="5"/>
  <c r="E1230" i="5"/>
  <c r="X1230" i="5" s="1"/>
  <c r="R1230" i="5"/>
  <c r="J1230" i="5"/>
  <c r="I1230" i="5"/>
  <c r="G1230" i="5"/>
  <c r="V1234" i="5"/>
  <c r="G1234" i="5" s="1"/>
  <c r="AB1325" i="5"/>
  <c r="T1325" i="5"/>
  <c r="S1325" i="5"/>
  <c r="J1329" i="5"/>
  <c r="F1329" i="5"/>
  <c r="E1329" i="5"/>
  <c r="X1329" i="5" s="1"/>
  <c r="R1329" i="5"/>
  <c r="I1329" i="5"/>
  <c r="H1329" i="5"/>
  <c r="G1329" i="5"/>
  <c r="S888" i="5"/>
  <c r="AB896" i="5"/>
  <c r="AB901" i="5"/>
  <c r="AB924" i="5"/>
  <c r="AB964" i="5"/>
  <c r="AB976" i="5"/>
  <c r="T986" i="5"/>
  <c r="AB986" i="5"/>
  <c r="S1002" i="5"/>
  <c r="T1002" i="5"/>
  <c r="G1006" i="5"/>
  <c r="I1014" i="5"/>
  <c r="S1042" i="5"/>
  <c r="T1042" i="5"/>
  <c r="H1113" i="5"/>
  <c r="F1113" i="5"/>
  <c r="E1118" i="5"/>
  <c r="X1118" i="5" s="1"/>
  <c r="J1171" i="5"/>
  <c r="I1171" i="5"/>
  <c r="H1171" i="5"/>
  <c r="F1171" i="5"/>
  <c r="T1223" i="5"/>
  <c r="S1223" i="5"/>
  <c r="AB1223" i="5"/>
  <c r="AB903" i="5"/>
  <c r="AB912" i="5"/>
  <c r="AB932" i="5"/>
  <c r="AB947" i="5"/>
  <c r="AB953" i="5"/>
  <c r="T994" i="5"/>
  <c r="AB994" i="5"/>
  <c r="I1002" i="5"/>
  <c r="E1002" i="5"/>
  <c r="X1002" i="5" s="1"/>
  <c r="S1030" i="5"/>
  <c r="AB1030" i="5"/>
  <c r="R1039" i="5"/>
  <c r="I1039" i="5"/>
  <c r="H1039" i="5"/>
  <c r="G1054" i="5"/>
  <c r="V1057" i="5"/>
  <c r="G1057" i="5" s="1"/>
  <c r="AB1081" i="5"/>
  <c r="T1081" i="5"/>
  <c r="T1105" i="5"/>
  <c r="S1105" i="5"/>
  <c r="V1110" i="5"/>
  <c r="G1110" i="5" s="1"/>
  <c r="H1137" i="5"/>
  <c r="F1137" i="5"/>
  <c r="E1137" i="5"/>
  <c r="X1137" i="5" s="1"/>
  <c r="AB1149" i="5"/>
  <c r="T1149" i="5"/>
  <c r="S1149" i="5"/>
  <c r="AB1156" i="5"/>
  <c r="S1156" i="5"/>
  <c r="V1161" i="5"/>
  <c r="G1161" i="5" s="1"/>
  <c r="E1182" i="5"/>
  <c r="X1182" i="5" s="1"/>
  <c r="J1182" i="5"/>
  <c r="H1182" i="5"/>
  <c r="F1182" i="5"/>
  <c r="J1095" i="5"/>
  <c r="H1098" i="5"/>
  <c r="V1102" i="5"/>
  <c r="G1102" i="5" s="1"/>
  <c r="AB1114" i="5"/>
  <c r="AB1118" i="5"/>
  <c r="T1137" i="5"/>
  <c r="H1138" i="5"/>
  <c r="T1141" i="5"/>
  <c r="G1150" i="5"/>
  <c r="AB1164" i="5"/>
  <c r="J1174" i="5"/>
  <c r="F1174" i="5"/>
  <c r="AB1178" i="5"/>
  <c r="V1178" i="5"/>
  <c r="I1178" i="5" s="1"/>
  <c r="AB1182" i="5"/>
  <c r="AB1186" i="5"/>
  <c r="T1191" i="5"/>
  <c r="AB1191" i="5"/>
  <c r="T1205" i="5"/>
  <c r="V1263" i="5"/>
  <c r="G1263" i="5" s="1"/>
  <c r="R1270" i="5"/>
  <c r="H1270" i="5"/>
  <c r="G1270" i="5"/>
  <c r="F1270" i="5"/>
  <c r="J1270" i="5"/>
  <c r="I1270" i="5"/>
  <c r="V1331" i="5"/>
  <c r="G1331" i="5" s="1"/>
  <c r="T1354" i="5"/>
  <c r="AB1354" i="5"/>
  <c r="T1368" i="5"/>
  <c r="S1368" i="5"/>
  <c r="AB1005" i="5"/>
  <c r="AB1007" i="5"/>
  <c r="AB1010" i="5"/>
  <c r="J1035" i="5"/>
  <c r="AB1064" i="5"/>
  <c r="S1071" i="5"/>
  <c r="S1079" i="5"/>
  <c r="S1087" i="5"/>
  <c r="R1098" i="5"/>
  <c r="AB1137" i="5"/>
  <c r="R1138" i="5"/>
  <c r="AB1141" i="5"/>
  <c r="R1150" i="5"/>
  <c r="T1171" i="5"/>
  <c r="AB1171" i="5"/>
  <c r="T1184" i="5"/>
  <c r="S1184" i="5"/>
  <c r="T1215" i="5"/>
  <c r="AB1215" i="5"/>
  <c r="R1354" i="5"/>
  <c r="F1354" i="5"/>
  <c r="E1354" i="5"/>
  <c r="X1354" i="5" s="1"/>
  <c r="J1354" i="5"/>
  <c r="I1354" i="5"/>
  <c r="H1354" i="5"/>
  <c r="G1354" i="5"/>
  <c r="H1365" i="5"/>
  <c r="F1365" i="5"/>
  <c r="E1365" i="5"/>
  <c r="X1365" i="5" s="1"/>
  <c r="AB1066" i="5"/>
  <c r="T1071" i="5"/>
  <c r="T1079" i="5"/>
  <c r="T1087" i="5"/>
  <c r="AB1095" i="5"/>
  <c r="J1186" i="5"/>
  <c r="G1186" i="5"/>
  <c r="G1228" i="5"/>
  <c r="R1228" i="5"/>
  <c r="J1228" i="5"/>
  <c r="I1228" i="5"/>
  <c r="F1228" i="5"/>
  <c r="E1228" i="5"/>
  <c r="X1228" i="5" s="1"/>
  <c r="H1232" i="5"/>
  <c r="G1232" i="5"/>
  <c r="F1232" i="5"/>
  <c r="R1232" i="5"/>
  <c r="J1232" i="5"/>
  <c r="I1232" i="5"/>
  <c r="H1302" i="5"/>
  <c r="AB1315" i="5"/>
  <c r="S1315" i="5"/>
  <c r="T1315" i="5"/>
  <c r="H1320" i="5"/>
  <c r="I1320" i="5"/>
  <c r="G1320" i="5"/>
  <c r="F1320" i="5"/>
  <c r="R1320" i="5"/>
  <c r="J1320" i="5"/>
  <c r="I1369" i="5"/>
  <c r="F1369" i="5"/>
  <c r="E1369" i="5"/>
  <c r="X1369" i="5" s="1"/>
  <c r="AB1014" i="5"/>
  <c r="I1027" i="5"/>
  <c r="V1034" i="5"/>
  <c r="F1034" i="5" s="1"/>
  <c r="S1057" i="5"/>
  <c r="S1060" i="5"/>
  <c r="S1064" i="5"/>
  <c r="E1095" i="5"/>
  <c r="X1095" i="5" s="1"/>
  <c r="AB1098" i="5"/>
  <c r="S1103" i="5"/>
  <c r="T1117" i="5"/>
  <c r="AB1125" i="5"/>
  <c r="AB1134" i="5"/>
  <c r="AB1138" i="5"/>
  <c r="AB1142" i="5"/>
  <c r="AB1152" i="5"/>
  <c r="T1165" i="5"/>
  <c r="T1179" i="5"/>
  <c r="AB1179" i="5"/>
  <c r="H1180" i="5"/>
  <c r="AB1184" i="5"/>
  <c r="E1186" i="5"/>
  <c r="X1186" i="5" s="1"/>
  <c r="E1223" i="5"/>
  <c r="X1223" i="5" s="1"/>
  <c r="J1223" i="5"/>
  <c r="I1223" i="5"/>
  <c r="F1223" i="5"/>
  <c r="H1228" i="5"/>
  <c r="E1320" i="5"/>
  <c r="X1320" i="5" s="1"/>
  <c r="H1369" i="5"/>
  <c r="AB989" i="5"/>
  <c r="J1027" i="5"/>
  <c r="G1029" i="5"/>
  <c r="T1038" i="5"/>
  <c r="T1050" i="5"/>
  <c r="T1058" i="5"/>
  <c r="AB1062" i="5"/>
  <c r="T1064" i="5"/>
  <c r="AB1074" i="5"/>
  <c r="AB1077" i="5"/>
  <c r="AB1090" i="5"/>
  <c r="AB1093" i="5"/>
  <c r="G1095" i="5"/>
  <c r="E1098" i="5"/>
  <c r="X1098" i="5" s="1"/>
  <c r="AB1130" i="5"/>
  <c r="E1138" i="5"/>
  <c r="X1138" i="5" s="1"/>
  <c r="S1147" i="5"/>
  <c r="AB1154" i="5"/>
  <c r="AB1170" i="5"/>
  <c r="V1170" i="5"/>
  <c r="J1170" i="5" s="1"/>
  <c r="S1173" i="5"/>
  <c r="I1180" i="5"/>
  <c r="F1186" i="5"/>
  <c r="V1187" i="5"/>
  <c r="F1187" i="5" s="1"/>
  <c r="T1192" i="5"/>
  <c r="S1192" i="5"/>
  <c r="S1199" i="5"/>
  <c r="F1206" i="5"/>
  <c r="H1206" i="5"/>
  <c r="AB1222" i="5"/>
  <c r="T1222" i="5"/>
  <c r="J1236" i="5"/>
  <c r="R1236" i="5"/>
  <c r="H1236" i="5"/>
  <c r="E1236" i="5"/>
  <c r="X1236" i="5" s="1"/>
  <c r="R1262" i="5"/>
  <c r="J1262" i="5"/>
  <c r="I1262" i="5"/>
  <c r="H1262" i="5"/>
  <c r="F1262" i="5"/>
  <c r="E1262" i="5"/>
  <c r="X1262" i="5" s="1"/>
  <c r="G1306" i="5"/>
  <c r="H1306" i="5"/>
  <c r="H1318" i="5"/>
  <c r="G1318" i="5"/>
  <c r="F1318" i="5"/>
  <c r="R1318" i="5"/>
  <c r="J1318" i="5"/>
  <c r="I1318" i="5"/>
  <c r="E1328" i="5"/>
  <c r="X1328" i="5" s="1"/>
  <c r="F1328" i="5"/>
  <c r="R1338" i="5"/>
  <c r="I1338" i="5"/>
  <c r="F1338" i="5"/>
  <c r="E1338" i="5"/>
  <c r="X1338" i="5" s="1"/>
  <c r="AB1004" i="5"/>
  <c r="S1005" i="5"/>
  <c r="T1022" i="5"/>
  <c r="T1026" i="5"/>
  <c r="S1029" i="5"/>
  <c r="V1050" i="5"/>
  <c r="G1050" i="5" s="1"/>
  <c r="AB1061" i="5"/>
  <c r="AB1065" i="5"/>
  <c r="AB1069" i="5"/>
  <c r="G1071" i="5"/>
  <c r="G1079" i="5"/>
  <c r="AB1082" i="5"/>
  <c r="AB1085" i="5"/>
  <c r="G1087" i="5"/>
  <c r="H1095" i="5"/>
  <c r="F1098" i="5"/>
  <c r="V1109" i="5"/>
  <c r="R1109" i="5" s="1"/>
  <c r="AB1117" i="5"/>
  <c r="AB1126" i="5"/>
  <c r="F1138" i="5"/>
  <c r="AB1151" i="5"/>
  <c r="S1157" i="5"/>
  <c r="S1160" i="5"/>
  <c r="AB1165" i="5"/>
  <c r="S1171" i="5"/>
  <c r="S1177" i="5"/>
  <c r="T1183" i="5"/>
  <c r="AB1183" i="5"/>
  <c r="S1186" i="5"/>
  <c r="S1190" i="5"/>
  <c r="V1194" i="5"/>
  <c r="F1194" i="5" s="1"/>
  <c r="AB1199" i="5"/>
  <c r="AB1203" i="5"/>
  <c r="V1203" i="5"/>
  <c r="G1203" i="5" s="1"/>
  <c r="S1215" i="5"/>
  <c r="I1236" i="5"/>
  <c r="J1244" i="5"/>
  <c r="R1244" i="5"/>
  <c r="I1244" i="5"/>
  <c r="E1244" i="5"/>
  <c r="X1244" i="5" s="1"/>
  <c r="J1252" i="5"/>
  <c r="R1252" i="5"/>
  <c r="H1252" i="5"/>
  <c r="E1252" i="5"/>
  <c r="X1252" i="5" s="1"/>
  <c r="G1262" i="5"/>
  <c r="T1287" i="5"/>
  <c r="AB1287" i="5"/>
  <c r="F1306" i="5"/>
  <c r="E1318" i="5"/>
  <c r="X1318" i="5" s="1"/>
  <c r="H1338" i="5"/>
  <c r="AB1038" i="5"/>
  <c r="AB1057" i="5"/>
  <c r="AB1058" i="5"/>
  <c r="AB1089" i="5"/>
  <c r="G1098" i="5"/>
  <c r="AB1122" i="5"/>
  <c r="E1126" i="5"/>
  <c r="X1126" i="5" s="1"/>
  <c r="AB1145" i="5"/>
  <c r="E1150" i="5"/>
  <c r="X1150" i="5" s="1"/>
  <c r="F1159" i="5"/>
  <c r="T1160" i="5"/>
  <c r="AB1190" i="5"/>
  <c r="AB1193" i="5"/>
  <c r="T1193" i="5"/>
  <c r="G1198" i="5"/>
  <c r="E1210" i="5"/>
  <c r="X1210" i="5" s="1"/>
  <c r="H1210" i="5"/>
  <c r="S1222" i="5"/>
  <c r="H1244" i="5"/>
  <c r="I1252" i="5"/>
  <c r="S1258" i="5"/>
  <c r="T1258" i="5"/>
  <c r="T1301" i="5"/>
  <c r="S1301" i="5"/>
  <c r="AB1319" i="5"/>
  <c r="T1319" i="5"/>
  <c r="S1319" i="5"/>
  <c r="T1329" i="5"/>
  <c r="AB1329" i="5"/>
  <c r="T1228" i="5"/>
  <c r="T1262" i="5"/>
  <c r="AB1338" i="5"/>
  <c r="AB1369" i="5"/>
  <c r="R1371" i="5"/>
  <c r="G1227" i="5"/>
  <c r="I1241" i="5"/>
  <c r="I1242" i="5"/>
  <c r="I1249" i="5"/>
  <c r="I1257" i="5"/>
  <c r="I1259" i="5"/>
  <c r="H1358" i="5"/>
  <c r="AB1361" i="5"/>
  <c r="AB1366" i="5"/>
  <c r="AB1173" i="5"/>
  <c r="V1207" i="5"/>
  <c r="R1207" i="5" s="1"/>
  <c r="V1211" i="5"/>
  <c r="R1211" i="5" s="1"/>
  <c r="AB1219" i="5"/>
  <c r="E1222" i="5"/>
  <c r="X1222" i="5" s="1"/>
  <c r="S1226" i="5"/>
  <c r="H1227" i="5"/>
  <c r="G1236" i="5"/>
  <c r="AB1237" i="5"/>
  <c r="J1241" i="5"/>
  <c r="J1242" i="5"/>
  <c r="AB1245" i="5"/>
  <c r="J1249" i="5"/>
  <c r="G1252" i="5"/>
  <c r="AB1253" i="5"/>
  <c r="J1257" i="5"/>
  <c r="J1259" i="5"/>
  <c r="AB1262" i="5"/>
  <c r="T1266" i="5"/>
  <c r="J1267" i="5"/>
  <c r="T1270" i="5"/>
  <c r="AB1274" i="5"/>
  <c r="S1277" i="5"/>
  <c r="V1286" i="5"/>
  <c r="R1286" i="5" s="1"/>
  <c r="T1290" i="5"/>
  <c r="AB1303" i="5"/>
  <c r="AB1322" i="5"/>
  <c r="T1326" i="5"/>
  <c r="J1327" i="5"/>
  <c r="AB1331" i="5"/>
  <c r="G1335" i="5"/>
  <c r="T1342" i="5"/>
  <c r="J1343" i="5"/>
  <c r="AB1346" i="5"/>
  <c r="I1358" i="5"/>
  <c r="AB1360" i="5"/>
  <c r="F1361" i="5"/>
  <c r="AB1207" i="5"/>
  <c r="AB1211" i="5"/>
  <c r="F1215" i="5"/>
  <c r="AB1216" i="5"/>
  <c r="F1222" i="5"/>
  <c r="T1226" i="5"/>
  <c r="I1227" i="5"/>
  <c r="AB1234" i="5"/>
  <c r="R1241" i="5"/>
  <c r="G1244" i="5"/>
  <c r="R1249" i="5"/>
  <c r="R1257" i="5"/>
  <c r="S1272" i="5"/>
  <c r="G1302" i="5"/>
  <c r="AB1307" i="5"/>
  <c r="S1316" i="5"/>
  <c r="AB1323" i="5"/>
  <c r="H1335" i="5"/>
  <c r="G1338" i="5"/>
  <c r="E1346" i="5"/>
  <c r="X1346" i="5" s="1"/>
  <c r="T1350" i="5"/>
  <c r="G1361" i="5"/>
  <c r="G1369" i="5"/>
  <c r="G1380" i="5"/>
  <c r="AB1177" i="5"/>
  <c r="AB1185" i="5"/>
  <c r="AB1195" i="5"/>
  <c r="H1215" i="5"/>
  <c r="S1216" i="5"/>
  <c r="S1227" i="5"/>
  <c r="AB1275" i="5"/>
  <c r="AB1280" i="5"/>
  <c r="V1294" i="5"/>
  <c r="G1294" i="5" s="1"/>
  <c r="T1302" i="5"/>
  <c r="S1323" i="5"/>
  <c r="AB1328" i="5"/>
  <c r="T1334" i="5"/>
  <c r="J1335" i="5"/>
  <c r="AB1339" i="5"/>
  <c r="AB1341" i="5"/>
  <c r="AB1348" i="5"/>
  <c r="AB1350" i="5"/>
  <c r="S1351" i="5"/>
  <c r="V1357" i="5"/>
  <c r="G1357" i="5" s="1"/>
  <c r="I1361" i="5"/>
  <c r="E1371" i="5"/>
  <c r="H1380" i="5"/>
  <c r="AB1263" i="5"/>
  <c r="I1310" i="5"/>
  <c r="T1313" i="5"/>
  <c r="H1346" i="5"/>
  <c r="S1349" i="5"/>
  <c r="J1361" i="5"/>
  <c r="AB1365" i="5"/>
  <c r="G1378" i="5"/>
  <c r="J1215" i="5"/>
  <c r="AB1227" i="5"/>
  <c r="AB1231" i="5"/>
  <c r="E1241" i="5"/>
  <c r="X1241" i="5" s="1"/>
  <c r="E1242" i="5"/>
  <c r="X1242" i="5" s="1"/>
  <c r="E1249" i="5"/>
  <c r="X1249" i="5" s="1"/>
  <c r="G1250" i="5"/>
  <c r="E1257" i="5"/>
  <c r="X1257" i="5" s="1"/>
  <c r="G1259" i="5"/>
  <c r="AB1264" i="5"/>
  <c r="G1267" i="5"/>
  <c r="G1271" i="5"/>
  <c r="AB1273" i="5"/>
  <c r="T1278" i="5"/>
  <c r="S1280" i="5"/>
  <c r="AB1291" i="5"/>
  <c r="AB1302" i="5"/>
  <c r="J1310" i="5"/>
  <c r="AB1313" i="5"/>
  <c r="G1327" i="5"/>
  <c r="S1333" i="5"/>
  <c r="AB1334" i="5"/>
  <c r="S1335" i="5"/>
  <c r="G1343" i="5"/>
  <c r="I1346" i="5"/>
  <c r="S1348" i="5"/>
  <c r="AB1349" i="5"/>
  <c r="T1361" i="5"/>
  <c r="G1371" i="5"/>
  <c r="G1376" i="5"/>
  <c r="AB1381" i="5"/>
  <c r="F19" i="6"/>
  <c r="X256" i="5"/>
  <c r="X219" i="5"/>
  <c r="V27" i="5"/>
  <c r="AB30" i="5"/>
  <c r="R61" i="5"/>
  <c r="V91" i="5"/>
  <c r="AB94" i="5"/>
  <c r="AB116" i="5"/>
  <c r="R149" i="5"/>
  <c r="X169" i="5"/>
  <c r="R169" i="5"/>
  <c r="X201" i="5"/>
  <c r="R201" i="5"/>
  <c r="AB235" i="5"/>
  <c r="V235" i="5"/>
  <c r="AB327" i="5"/>
  <c r="AB20" i="5"/>
  <c r="R29" i="5"/>
  <c r="AB52" i="5"/>
  <c r="V59" i="5"/>
  <c r="AB62" i="5"/>
  <c r="AB84" i="5"/>
  <c r="R93" i="5"/>
  <c r="AB155" i="5"/>
  <c r="X185" i="5"/>
  <c r="R185" i="5"/>
  <c r="R226" i="5"/>
  <c r="AB5" i="5"/>
  <c r="AB9" i="5"/>
  <c r="AB13" i="5"/>
  <c r="AB19" i="5"/>
  <c r="AB32" i="5"/>
  <c r="V39" i="5"/>
  <c r="X40" i="5"/>
  <c r="R41" i="5"/>
  <c r="AB42" i="5"/>
  <c r="AB51" i="5"/>
  <c r="AB64" i="5"/>
  <c r="V71" i="5"/>
  <c r="X72" i="5"/>
  <c r="R73" i="5"/>
  <c r="AB74" i="5"/>
  <c r="AB83" i="5"/>
  <c r="X93" i="5"/>
  <c r="AB96" i="5"/>
  <c r="V103" i="5"/>
  <c r="R105" i="5"/>
  <c r="AB106" i="5"/>
  <c r="AB115" i="5"/>
  <c r="R133" i="5"/>
  <c r="AB135" i="5"/>
  <c r="X153" i="5"/>
  <c r="R153" i="5"/>
  <c r="AB159" i="5"/>
  <c r="AB175" i="5"/>
  <c r="AB191" i="5"/>
  <c r="AB207" i="5"/>
  <c r="AB6" i="5"/>
  <c r="AB10" i="5"/>
  <c r="AB14" i="5"/>
  <c r="V19" i="5"/>
  <c r="R21" i="5"/>
  <c r="AB22" i="5"/>
  <c r="AB31" i="5"/>
  <c r="AB44" i="5"/>
  <c r="V51" i="5"/>
  <c r="R53" i="5"/>
  <c r="AB54" i="5"/>
  <c r="AB63" i="5"/>
  <c r="AB76" i="5"/>
  <c r="V83" i="5"/>
  <c r="R85" i="5"/>
  <c r="AB86" i="5"/>
  <c r="AB95" i="5"/>
  <c r="AB108" i="5"/>
  <c r="V115" i="5"/>
  <c r="R117" i="5"/>
  <c r="AB118" i="5"/>
  <c r="AB124" i="5"/>
  <c r="R125" i="5"/>
  <c r="V135" i="5"/>
  <c r="R136" i="5"/>
  <c r="R157" i="5"/>
  <c r="X173" i="5"/>
  <c r="R173" i="5"/>
  <c r="X189" i="5"/>
  <c r="R189" i="5"/>
  <c r="R238" i="5"/>
  <c r="AB275" i="5"/>
  <c r="X286" i="5"/>
  <c r="R286" i="5"/>
  <c r="R298" i="5"/>
  <c r="V31" i="5"/>
  <c r="AB34" i="5"/>
  <c r="V63" i="5"/>
  <c r="AB66" i="5"/>
  <c r="AB88" i="5"/>
  <c r="V95" i="5"/>
  <c r="X96" i="5"/>
  <c r="R97" i="5"/>
  <c r="AB98" i="5"/>
  <c r="AB120" i="5"/>
  <c r="AB127" i="5"/>
  <c r="AB163" i="5"/>
  <c r="AB179" i="5"/>
  <c r="AB195" i="5"/>
  <c r="AB211" i="5"/>
  <c r="R234" i="5"/>
  <c r="AB243" i="5"/>
  <c r="V243" i="5"/>
  <c r="X266" i="5"/>
  <c r="R266" i="5"/>
  <c r="AB273" i="5"/>
  <c r="V273" i="5"/>
  <c r="R33" i="5"/>
  <c r="AB36" i="5"/>
  <c r="V43" i="5"/>
  <c r="R45" i="5"/>
  <c r="AB46" i="5"/>
  <c r="AB68" i="5"/>
  <c r="V75" i="5"/>
  <c r="R77" i="5"/>
  <c r="AB78" i="5"/>
  <c r="AB100" i="5"/>
  <c r="V107" i="5"/>
  <c r="AB110" i="5"/>
  <c r="R121" i="5"/>
  <c r="X124" i="5"/>
  <c r="V127" i="5"/>
  <c r="R128" i="5"/>
  <c r="X137" i="5"/>
  <c r="R137" i="5"/>
  <c r="AB139" i="5"/>
  <c r="R161" i="5"/>
  <c r="R193" i="5"/>
  <c r="X209" i="5"/>
  <c r="R209" i="5"/>
  <c r="R222" i="5"/>
  <c r="X222" i="5"/>
  <c r="AB323" i="5"/>
  <c r="AB24" i="5"/>
  <c r="X32" i="5"/>
  <c r="AB56" i="5"/>
  <c r="R65" i="5"/>
  <c r="AB7" i="5"/>
  <c r="AB11" i="5"/>
  <c r="AB15" i="5"/>
  <c r="AB16" i="5"/>
  <c r="V23" i="5"/>
  <c r="X24" i="5"/>
  <c r="R25" i="5"/>
  <c r="AB26" i="5"/>
  <c r="AB35" i="5"/>
  <c r="AB48" i="5"/>
  <c r="V55" i="5"/>
  <c r="X56" i="5"/>
  <c r="R57" i="5"/>
  <c r="AB58" i="5"/>
  <c r="AB67" i="5"/>
  <c r="AB80" i="5"/>
  <c r="V87" i="5"/>
  <c r="X88" i="5"/>
  <c r="R89" i="5"/>
  <c r="AB90" i="5"/>
  <c r="AB99" i="5"/>
  <c r="AB112" i="5"/>
  <c r="V119" i="5"/>
  <c r="X120" i="5"/>
  <c r="AB123" i="5"/>
  <c r="AB143" i="5"/>
  <c r="AB167" i="5"/>
  <c r="AB183" i="5"/>
  <c r="AB199" i="5"/>
  <c r="AB215" i="5"/>
  <c r="AB218" i="5"/>
  <c r="AB227" i="5"/>
  <c r="V227" i="5"/>
  <c r="R246" i="5"/>
  <c r="X299" i="5"/>
  <c r="R299" i="5"/>
  <c r="AB317" i="5"/>
  <c r="V317" i="5"/>
  <c r="V15" i="5"/>
  <c r="AB28" i="5"/>
  <c r="R32" i="5"/>
  <c r="V35" i="5"/>
  <c r="AB38" i="5"/>
  <c r="AB60" i="5"/>
  <c r="R64" i="5"/>
  <c r="V67" i="5"/>
  <c r="X68" i="5"/>
  <c r="R69" i="5"/>
  <c r="AB70" i="5"/>
  <c r="AB92" i="5"/>
  <c r="R96" i="5"/>
  <c r="V99" i="5"/>
  <c r="X100" i="5"/>
  <c r="R101" i="5"/>
  <c r="AB102" i="5"/>
  <c r="V123" i="5"/>
  <c r="R124" i="5"/>
  <c r="R129" i="5"/>
  <c r="AB131" i="5"/>
  <c r="R141" i="5"/>
  <c r="AB147" i="5"/>
  <c r="R165" i="5"/>
  <c r="X181" i="5"/>
  <c r="R181" i="5"/>
  <c r="R197" i="5"/>
  <c r="X213" i="5"/>
  <c r="R213" i="5"/>
  <c r="R242" i="5"/>
  <c r="V254" i="5"/>
  <c r="X267" i="5"/>
  <c r="R267" i="5"/>
  <c r="AB276" i="5"/>
  <c r="AB8" i="5"/>
  <c r="AB12" i="5"/>
  <c r="R37" i="5"/>
  <c r="X16" i="5"/>
  <c r="AB18" i="5"/>
  <c r="AB27" i="5"/>
  <c r="AB40" i="5"/>
  <c r="R44" i="5"/>
  <c r="V47" i="5"/>
  <c r="X48" i="5"/>
  <c r="R49" i="5"/>
  <c r="AB50" i="5"/>
  <c r="AB59" i="5"/>
  <c r="AB72" i="5"/>
  <c r="R76" i="5"/>
  <c r="V79" i="5"/>
  <c r="R81" i="5"/>
  <c r="AB82" i="5"/>
  <c r="AB91" i="5"/>
  <c r="AB104" i="5"/>
  <c r="R108" i="5"/>
  <c r="V111" i="5"/>
  <c r="X112" i="5"/>
  <c r="R113" i="5"/>
  <c r="AB114" i="5"/>
  <c r="V131" i="5"/>
  <c r="R132" i="5"/>
  <c r="R145" i="5"/>
  <c r="AB151" i="5"/>
  <c r="AB171" i="5"/>
  <c r="AB187" i="5"/>
  <c r="AB203" i="5"/>
  <c r="R230" i="5"/>
  <c r="R250" i="5"/>
  <c r="V274" i="5"/>
  <c r="X247" i="5"/>
  <c r="AB251" i="5"/>
  <c r="X258" i="5"/>
  <c r="R258" i="5"/>
  <c r="X259" i="5"/>
  <c r="AB265" i="5"/>
  <c r="V265" i="5"/>
  <c r="AB288" i="5"/>
  <c r="V290" i="5"/>
  <c r="AB297" i="5"/>
  <c r="V297" i="5"/>
  <c r="AB300" i="5"/>
  <c r="AB128" i="5"/>
  <c r="AB132" i="5"/>
  <c r="AB136" i="5"/>
  <c r="V139" i="5"/>
  <c r="AB140" i="5"/>
  <c r="V143" i="5"/>
  <c r="AB144" i="5"/>
  <c r="V147" i="5"/>
  <c r="AB148" i="5"/>
  <c r="V151" i="5"/>
  <c r="AB152" i="5"/>
  <c r="V155" i="5"/>
  <c r="AB156" i="5"/>
  <c r="V159" i="5"/>
  <c r="AB160" i="5"/>
  <c r="V163" i="5"/>
  <c r="AB164" i="5"/>
  <c r="V167" i="5"/>
  <c r="AB168" i="5"/>
  <c r="V171" i="5"/>
  <c r="AB172" i="5"/>
  <c r="V175" i="5"/>
  <c r="AB176" i="5"/>
  <c r="V179" i="5"/>
  <c r="AB180" i="5"/>
  <c r="V183" i="5"/>
  <c r="AB184" i="5"/>
  <c r="V187" i="5"/>
  <c r="AB188" i="5"/>
  <c r="V191" i="5"/>
  <c r="AB192" i="5"/>
  <c r="V195" i="5"/>
  <c r="AB196" i="5"/>
  <c r="V199" i="5"/>
  <c r="AB200" i="5"/>
  <c r="V203" i="5"/>
  <c r="AB204" i="5"/>
  <c r="V207" i="5"/>
  <c r="AB208" i="5"/>
  <c r="V211" i="5"/>
  <c r="AB212" i="5"/>
  <c r="V215" i="5"/>
  <c r="AB216" i="5"/>
  <c r="R217" i="5"/>
  <c r="R219" i="5"/>
  <c r="V223" i="5"/>
  <c r="AB225" i="5"/>
  <c r="V231" i="5"/>
  <c r="AB233" i="5"/>
  <c r="V239" i="5"/>
  <c r="AB241" i="5"/>
  <c r="AB247" i="5"/>
  <c r="AB258" i="5"/>
  <c r="AB268" i="5"/>
  <c r="V270" i="5"/>
  <c r="AB277" i="5"/>
  <c r="V277" i="5"/>
  <c r="AB290" i="5"/>
  <c r="AB304" i="5"/>
  <c r="AB220" i="5"/>
  <c r="AB228" i="5"/>
  <c r="AB236" i="5"/>
  <c r="AB244" i="5"/>
  <c r="AB257" i="5"/>
  <c r="V257" i="5"/>
  <c r="V282" i="5"/>
  <c r="X283" i="5"/>
  <c r="AB289" i="5"/>
  <c r="V289" i="5"/>
  <c r="AB301" i="5"/>
  <c r="V301" i="5"/>
  <c r="AB308" i="5"/>
  <c r="X314" i="5"/>
  <c r="R314" i="5"/>
  <c r="AB248" i="5"/>
  <c r="AB260" i="5"/>
  <c r="R262" i="5"/>
  <c r="X263" i="5"/>
  <c r="AB269" i="5"/>
  <c r="V269" i="5"/>
  <c r="AB282" i="5"/>
  <c r="AB292" i="5"/>
  <c r="X294" i="5"/>
  <c r="X295" i="5"/>
  <c r="AB305" i="5"/>
  <c r="V305" i="5"/>
  <c r="AB312" i="5"/>
  <c r="R253" i="5"/>
  <c r="AB253" i="5"/>
  <c r="AB281" i="5"/>
  <c r="V281" i="5"/>
  <c r="AB309" i="5"/>
  <c r="V309" i="5"/>
  <c r="AB316" i="5"/>
  <c r="AB331" i="5"/>
  <c r="R225" i="5"/>
  <c r="R233" i="5"/>
  <c r="R241" i="5"/>
  <c r="AB249" i="5"/>
  <c r="AB254" i="5"/>
  <c r="V255" i="5"/>
  <c r="AB261" i="5"/>
  <c r="V261" i="5"/>
  <c r="AB274" i="5"/>
  <c r="AB284" i="5"/>
  <c r="X287" i="5"/>
  <c r="AB293" i="5"/>
  <c r="V293" i="5"/>
  <c r="AB313" i="5"/>
  <c r="V313" i="5"/>
  <c r="AB320" i="5"/>
  <c r="AB324" i="5"/>
  <c r="R259" i="5"/>
  <c r="AB266" i="5"/>
  <c r="AB267" i="5"/>
  <c r="R278" i="5"/>
  <c r="X279" i="5"/>
  <c r="AB285" i="5"/>
  <c r="V285" i="5"/>
  <c r="R302" i="5"/>
  <c r="AB321" i="5"/>
  <c r="V321" i="5"/>
  <c r="V325" i="5"/>
  <c r="V329" i="5"/>
  <c r="R390" i="5"/>
  <c r="J390" i="5"/>
  <c r="H390" i="5"/>
  <c r="I390" i="5"/>
  <c r="F390" i="5"/>
  <c r="E390" i="5"/>
  <c r="X390" i="5" s="1"/>
  <c r="X335" i="5"/>
  <c r="R335" i="5"/>
  <c r="AB334" i="5"/>
  <c r="V334" i="5"/>
  <c r="AB345" i="5"/>
  <c r="T345" i="5"/>
  <c r="S345" i="5"/>
  <c r="V366" i="5"/>
  <c r="E379" i="5"/>
  <c r="X379" i="5" s="1"/>
  <c r="J379" i="5"/>
  <c r="I379" i="5"/>
  <c r="H379" i="5"/>
  <c r="G379" i="5"/>
  <c r="R379" i="5"/>
  <c r="F379" i="5"/>
  <c r="V465" i="5"/>
  <c r="G465" i="5" s="1"/>
  <c r="V361" i="5"/>
  <c r="G361" i="5" s="1"/>
  <c r="R414" i="5"/>
  <c r="J414" i="5"/>
  <c r="I414" i="5"/>
  <c r="H414" i="5"/>
  <c r="F414" i="5"/>
  <c r="E414" i="5"/>
  <c r="X414" i="5" s="1"/>
  <c r="R422" i="5"/>
  <c r="J422" i="5"/>
  <c r="I422" i="5"/>
  <c r="H422" i="5"/>
  <c r="F422" i="5"/>
  <c r="E422" i="5"/>
  <c r="X422" i="5" s="1"/>
  <c r="V477" i="5"/>
  <c r="G477" i="5" s="1"/>
  <c r="AB335" i="5"/>
  <c r="V524" i="5"/>
  <c r="T371" i="5"/>
  <c r="S371" i="5"/>
  <c r="AB371" i="5"/>
  <c r="AB337" i="5"/>
  <c r="V354" i="5"/>
  <c r="G354" i="5" s="1"/>
  <c r="V433" i="5"/>
  <c r="G433" i="5" s="1"/>
  <c r="R497" i="5"/>
  <c r="J497" i="5"/>
  <c r="I497" i="5"/>
  <c r="H497" i="5"/>
  <c r="F497" i="5"/>
  <c r="E497" i="5"/>
  <c r="X497" i="5" s="1"/>
  <c r="AB336" i="5"/>
  <c r="V445" i="5"/>
  <c r="G445" i="5" s="1"/>
  <c r="X339" i="5"/>
  <c r="AB341" i="5"/>
  <c r="J355" i="5"/>
  <c r="I355" i="5"/>
  <c r="F355" i="5"/>
  <c r="E355" i="5"/>
  <c r="X355" i="5" s="1"/>
  <c r="R355" i="5"/>
  <c r="V373" i="5"/>
  <c r="G373" i="5" s="1"/>
  <c r="E395" i="5"/>
  <c r="X395" i="5" s="1"/>
  <c r="J395" i="5"/>
  <c r="I395" i="5"/>
  <c r="H395" i="5"/>
  <c r="G395" i="5"/>
  <c r="AB397" i="5"/>
  <c r="T397" i="5"/>
  <c r="S397" i="5"/>
  <c r="R418" i="5"/>
  <c r="J418" i="5"/>
  <c r="I418" i="5"/>
  <c r="H418" i="5"/>
  <c r="F418" i="5"/>
  <c r="V441" i="5"/>
  <c r="G441" i="5" s="1"/>
  <c r="V473" i="5"/>
  <c r="G473" i="5" s="1"/>
  <c r="V627" i="5"/>
  <c r="G627" i="5" s="1"/>
  <c r="AB627" i="5"/>
  <c r="J346" i="5"/>
  <c r="H346" i="5"/>
  <c r="E346" i="5"/>
  <c r="X346" i="5" s="1"/>
  <c r="R346" i="5"/>
  <c r="AB361" i="5"/>
  <c r="T361" i="5"/>
  <c r="AB366" i="5"/>
  <c r="V378" i="5"/>
  <c r="G380" i="5"/>
  <c r="F380" i="5"/>
  <c r="R380" i="5"/>
  <c r="H380" i="5"/>
  <c r="E380" i="5"/>
  <c r="X380" i="5" s="1"/>
  <c r="J380" i="5"/>
  <c r="V394" i="5"/>
  <c r="G394" i="5" s="1"/>
  <c r="G408" i="5"/>
  <c r="F408" i="5"/>
  <c r="R408" i="5"/>
  <c r="I408" i="5"/>
  <c r="H408" i="5"/>
  <c r="J408" i="5"/>
  <c r="E408" i="5"/>
  <c r="X408" i="5" s="1"/>
  <c r="G412" i="5"/>
  <c r="F412" i="5"/>
  <c r="R412" i="5"/>
  <c r="H412" i="5"/>
  <c r="E412" i="5"/>
  <c r="X412" i="5" s="1"/>
  <c r="V437" i="5"/>
  <c r="G437" i="5" s="1"/>
  <c r="V469" i="5"/>
  <c r="G469" i="5" s="1"/>
  <c r="V504" i="5"/>
  <c r="G504" i="5" s="1"/>
  <c r="V337" i="5"/>
  <c r="AB339" i="5"/>
  <c r="X340" i="5"/>
  <c r="V405" i="5"/>
  <c r="R406" i="5"/>
  <c r="J406" i="5"/>
  <c r="H406" i="5"/>
  <c r="I406" i="5"/>
  <c r="E406" i="5"/>
  <c r="X406" i="5" s="1"/>
  <c r="J412" i="5"/>
  <c r="T426" i="5"/>
  <c r="S426" i="5"/>
  <c r="AB426" i="5"/>
  <c r="V461" i="5"/>
  <c r="G461" i="5" s="1"/>
  <c r="V493" i="5"/>
  <c r="G493" i="5" s="1"/>
  <c r="AB350" i="5"/>
  <c r="T350" i="5"/>
  <c r="S350" i="5"/>
  <c r="J351" i="5"/>
  <c r="I351" i="5"/>
  <c r="E351" i="5"/>
  <c r="X351" i="5" s="1"/>
  <c r="R351" i="5"/>
  <c r="H351" i="5"/>
  <c r="F351" i="5"/>
  <c r="G360" i="5"/>
  <c r="F360" i="5"/>
  <c r="R360" i="5"/>
  <c r="I360" i="5"/>
  <c r="H360" i="5"/>
  <c r="J360" i="5"/>
  <c r="E419" i="5"/>
  <c r="X419" i="5" s="1"/>
  <c r="R419" i="5"/>
  <c r="J419" i="5"/>
  <c r="I419" i="5"/>
  <c r="H419" i="5"/>
  <c r="G419" i="5"/>
  <c r="F419" i="5"/>
  <c r="V457" i="5"/>
  <c r="G457" i="5" s="1"/>
  <c r="V489" i="5"/>
  <c r="G489" i="5" s="1"/>
  <c r="AB519" i="5"/>
  <c r="T519" i="5"/>
  <c r="S519" i="5"/>
  <c r="V564" i="5"/>
  <c r="G564" i="5" s="1"/>
  <c r="V350" i="5"/>
  <c r="G350" i="5" s="1"/>
  <c r="E360" i="5"/>
  <c r="X360" i="5" s="1"/>
  <c r="E375" i="5"/>
  <c r="X375" i="5" s="1"/>
  <c r="J375" i="5"/>
  <c r="I375" i="5"/>
  <c r="R375" i="5"/>
  <c r="H375" i="5"/>
  <c r="R386" i="5"/>
  <c r="J386" i="5"/>
  <c r="H386" i="5"/>
  <c r="E386" i="5"/>
  <c r="X386" i="5" s="1"/>
  <c r="F386" i="5"/>
  <c r="V398" i="5"/>
  <c r="AB409" i="5"/>
  <c r="T409" i="5"/>
  <c r="S409" i="5"/>
  <c r="E418" i="5"/>
  <c r="X418" i="5" s="1"/>
  <c r="V453" i="5"/>
  <c r="G453" i="5" s="1"/>
  <c r="V485" i="5"/>
  <c r="G485" i="5" s="1"/>
  <c r="R339" i="5"/>
  <c r="AB340" i="5"/>
  <c r="G355" i="5"/>
  <c r="R358" i="5"/>
  <c r="J358" i="5"/>
  <c r="H358" i="5"/>
  <c r="I358" i="5"/>
  <c r="F358" i="5"/>
  <c r="E358" i="5"/>
  <c r="X358" i="5" s="1"/>
  <c r="R370" i="5"/>
  <c r="J370" i="5"/>
  <c r="H370" i="5"/>
  <c r="E370" i="5"/>
  <c r="X370" i="5" s="1"/>
  <c r="I370" i="5"/>
  <c r="F370" i="5"/>
  <c r="AB377" i="5"/>
  <c r="T377" i="5"/>
  <c r="S377" i="5"/>
  <c r="AB381" i="5"/>
  <c r="T381" i="5"/>
  <c r="S381" i="5"/>
  <c r="T383" i="5"/>
  <c r="S383" i="5"/>
  <c r="AB383" i="5"/>
  <c r="G392" i="5"/>
  <c r="F392" i="5"/>
  <c r="R392" i="5"/>
  <c r="I392" i="5"/>
  <c r="H392" i="5"/>
  <c r="F395" i="5"/>
  <c r="E407" i="5"/>
  <c r="X407" i="5" s="1"/>
  <c r="J407" i="5"/>
  <c r="I407" i="5"/>
  <c r="R407" i="5"/>
  <c r="H407" i="5"/>
  <c r="G407" i="5"/>
  <c r="F407" i="5"/>
  <c r="V409" i="5"/>
  <c r="V421" i="5"/>
  <c r="V449" i="5"/>
  <c r="G449" i="5" s="1"/>
  <c r="V481" i="5"/>
  <c r="G481" i="5" s="1"/>
  <c r="AB511" i="5"/>
  <c r="T511" i="5"/>
  <c r="S511" i="5"/>
  <c r="AB349" i="5"/>
  <c r="T349" i="5"/>
  <c r="S349" i="5"/>
  <c r="F352" i="5"/>
  <c r="R352" i="5"/>
  <c r="J352" i="5"/>
  <c r="G352" i="5"/>
  <c r="E352" i="5"/>
  <c r="X352" i="5" s="1"/>
  <c r="V353" i="5"/>
  <c r="G353" i="5" s="1"/>
  <c r="V377" i="5"/>
  <c r="G377" i="5" s="1"/>
  <c r="T387" i="5"/>
  <c r="S387" i="5"/>
  <c r="AB387" i="5"/>
  <c r="T399" i="5"/>
  <c r="S399" i="5"/>
  <c r="E426" i="5"/>
  <c r="X426" i="5" s="1"/>
  <c r="J426" i="5"/>
  <c r="I426" i="5"/>
  <c r="H426" i="5"/>
  <c r="G426" i="5"/>
  <c r="F426" i="5"/>
  <c r="R426" i="5"/>
  <c r="J633" i="5"/>
  <c r="I633" i="5"/>
  <c r="H633" i="5"/>
  <c r="E633" i="5"/>
  <c r="X633" i="5" s="1"/>
  <c r="R633" i="5"/>
  <c r="F633" i="5"/>
  <c r="V349" i="5"/>
  <c r="G349" i="5" s="1"/>
  <c r="S351" i="5"/>
  <c r="AB351" i="5"/>
  <c r="H352" i="5"/>
  <c r="F356" i="5"/>
  <c r="R356" i="5"/>
  <c r="H356" i="5"/>
  <c r="G356" i="5"/>
  <c r="F359" i="5"/>
  <c r="V362" i="5"/>
  <c r="E363" i="5"/>
  <c r="X363" i="5" s="1"/>
  <c r="J363" i="5"/>
  <c r="I363" i="5"/>
  <c r="H363" i="5"/>
  <c r="G363" i="5"/>
  <c r="AB365" i="5"/>
  <c r="T365" i="5"/>
  <c r="S365" i="5"/>
  <c r="R374" i="5"/>
  <c r="J374" i="5"/>
  <c r="H374" i="5"/>
  <c r="I374" i="5"/>
  <c r="G376" i="5"/>
  <c r="F376" i="5"/>
  <c r="R376" i="5"/>
  <c r="I376" i="5"/>
  <c r="H376" i="5"/>
  <c r="V382" i="5"/>
  <c r="G382" i="5" s="1"/>
  <c r="E391" i="5"/>
  <c r="X391" i="5" s="1"/>
  <c r="J391" i="5"/>
  <c r="I391" i="5"/>
  <c r="R391" i="5"/>
  <c r="H391" i="5"/>
  <c r="G396" i="5"/>
  <c r="F396" i="5"/>
  <c r="R396" i="5"/>
  <c r="H396" i="5"/>
  <c r="E396" i="5"/>
  <c r="X396" i="5" s="1"/>
  <c r="G420" i="5"/>
  <c r="F420" i="5"/>
  <c r="E420" i="5"/>
  <c r="X420" i="5" s="1"/>
  <c r="R420" i="5"/>
  <c r="J420" i="5"/>
  <c r="I420" i="5"/>
  <c r="X341" i="5"/>
  <c r="AB346" i="5"/>
  <c r="S346" i="5"/>
  <c r="I352" i="5"/>
  <c r="S355" i="5"/>
  <c r="AB355" i="5"/>
  <c r="T355" i="5"/>
  <c r="T367" i="5"/>
  <c r="S367" i="5"/>
  <c r="I389" i="5"/>
  <c r="H389" i="5"/>
  <c r="F389" i="5"/>
  <c r="E389" i="5"/>
  <c r="X389" i="5" s="1"/>
  <c r="R389" i="5"/>
  <c r="J389" i="5"/>
  <c r="AB393" i="5"/>
  <c r="T393" i="5"/>
  <c r="R402" i="5"/>
  <c r="J402" i="5"/>
  <c r="H402" i="5"/>
  <c r="E402" i="5"/>
  <c r="X402" i="5" s="1"/>
  <c r="V410" i="5"/>
  <c r="G410" i="5" s="1"/>
  <c r="E411" i="5"/>
  <c r="X411" i="5" s="1"/>
  <c r="J411" i="5"/>
  <c r="I411" i="5"/>
  <c r="H411" i="5"/>
  <c r="G411" i="5"/>
  <c r="AB413" i="5"/>
  <c r="T413" i="5"/>
  <c r="G422" i="5"/>
  <c r="T430" i="5"/>
  <c r="S430" i="5"/>
  <c r="AB583" i="5"/>
  <c r="T583" i="5"/>
  <c r="S583" i="5"/>
  <c r="V596" i="5"/>
  <c r="R707" i="5"/>
  <c r="I707" i="5"/>
  <c r="J707" i="5"/>
  <c r="H707" i="5"/>
  <c r="F707" i="5"/>
  <c r="E707" i="5"/>
  <c r="X707" i="5" s="1"/>
  <c r="E359" i="5"/>
  <c r="X359" i="5" s="1"/>
  <c r="J359" i="5"/>
  <c r="I359" i="5"/>
  <c r="R359" i="5"/>
  <c r="H359" i="5"/>
  <c r="G364" i="5"/>
  <c r="F364" i="5"/>
  <c r="R364" i="5"/>
  <c r="H364" i="5"/>
  <c r="E364" i="5"/>
  <c r="X364" i="5" s="1"/>
  <c r="V393" i="5"/>
  <c r="G393" i="5" s="1"/>
  <c r="AB398" i="5"/>
  <c r="T403" i="5"/>
  <c r="S403" i="5"/>
  <c r="G418" i="5"/>
  <c r="AB432" i="5"/>
  <c r="T432" i="5"/>
  <c r="S432" i="5"/>
  <c r="AB436" i="5"/>
  <c r="T436" i="5"/>
  <c r="S436" i="5"/>
  <c r="AB440" i="5"/>
  <c r="T440" i="5"/>
  <c r="S440" i="5"/>
  <c r="AB444" i="5"/>
  <c r="T444" i="5"/>
  <c r="S444" i="5"/>
  <c r="AB448" i="5"/>
  <c r="T448" i="5"/>
  <c r="S448" i="5"/>
  <c r="AB452" i="5"/>
  <c r="T452" i="5"/>
  <c r="S452" i="5"/>
  <c r="AB456" i="5"/>
  <c r="T456" i="5"/>
  <c r="S456" i="5"/>
  <c r="AB460" i="5"/>
  <c r="T460" i="5"/>
  <c r="S460" i="5"/>
  <c r="AB464" i="5"/>
  <c r="T464" i="5"/>
  <c r="S464" i="5"/>
  <c r="AB468" i="5"/>
  <c r="T468" i="5"/>
  <c r="S468" i="5"/>
  <c r="AB472" i="5"/>
  <c r="T472" i="5"/>
  <c r="S472" i="5"/>
  <c r="AB476" i="5"/>
  <c r="T476" i="5"/>
  <c r="S476" i="5"/>
  <c r="AB480" i="5"/>
  <c r="T480" i="5"/>
  <c r="S480" i="5"/>
  <c r="AB484" i="5"/>
  <c r="T484" i="5"/>
  <c r="S484" i="5"/>
  <c r="AB488" i="5"/>
  <c r="T488" i="5"/>
  <c r="S488" i="5"/>
  <c r="AB492" i="5"/>
  <c r="T492" i="5"/>
  <c r="S492" i="5"/>
  <c r="AB357" i="5"/>
  <c r="T357" i="5"/>
  <c r="T359" i="5"/>
  <c r="S359" i="5"/>
  <c r="AB359" i="5"/>
  <c r="E367" i="5"/>
  <c r="X367" i="5" s="1"/>
  <c r="J367" i="5"/>
  <c r="I367" i="5"/>
  <c r="I381" i="5"/>
  <c r="H381" i="5"/>
  <c r="F381" i="5"/>
  <c r="E381" i="5"/>
  <c r="X381" i="5" s="1"/>
  <c r="G384" i="5"/>
  <c r="F384" i="5"/>
  <c r="R384" i="5"/>
  <c r="AB385" i="5"/>
  <c r="T385" i="5"/>
  <c r="G386" i="5"/>
  <c r="T391" i="5"/>
  <c r="S391" i="5"/>
  <c r="AB391" i="5"/>
  <c r="E399" i="5"/>
  <c r="X399" i="5" s="1"/>
  <c r="J399" i="5"/>
  <c r="I399" i="5"/>
  <c r="V413" i="5"/>
  <c r="G413" i="5" s="1"/>
  <c r="V432" i="5"/>
  <c r="G432" i="5" s="1"/>
  <c r="V436" i="5"/>
  <c r="G436" i="5" s="1"/>
  <c r="V440" i="5"/>
  <c r="G440" i="5" s="1"/>
  <c r="V444" i="5"/>
  <c r="V448" i="5"/>
  <c r="V452" i="5"/>
  <c r="V456" i="5"/>
  <c r="G456" i="5" s="1"/>
  <c r="V460" i="5"/>
  <c r="G460" i="5" s="1"/>
  <c r="V464" i="5"/>
  <c r="G464" i="5" s="1"/>
  <c r="V468" i="5"/>
  <c r="G468" i="5" s="1"/>
  <c r="V472" i="5"/>
  <c r="G472" i="5" s="1"/>
  <c r="V476" i="5"/>
  <c r="V480" i="5"/>
  <c r="G480" i="5" s="1"/>
  <c r="V484" i="5"/>
  <c r="V488" i="5"/>
  <c r="G488" i="5" s="1"/>
  <c r="V492" i="5"/>
  <c r="G492" i="5" s="1"/>
  <c r="V496" i="5"/>
  <c r="G496" i="5" s="1"/>
  <c r="V500" i="5"/>
  <c r="G500" i="5" s="1"/>
  <c r="AB503" i="5"/>
  <c r="T503" i="5"/>
  <c r="S503" i="5"/>
  <c r="AB575" i="5"/>
  <c r="T575" i="5"/>
  <c r="S575" i="5"/>
  <c r="V1332" i="5"/>
  <c r="G1332" i="5" s="1"/>
  <c r="T1347" i="5"/>
  <c r="AB1347" i="5"/>
  <c r="S1347" i="5"/>
  <c r="AB353" i="5"/>
  <c r="T353" i="5"/>
  <c r="AB354" i="5"/>
  <c r="H357" i="5"/>
  <c r="F357" i="5"/>
  <c r="E357" i="5"/>
  <c r="X357" i="5" s="1"/>
  <c r="G358" i="5"/>
  <c r="AB362" i="5"/>
  <c r="T363" i="5"/>
  <c r="S363" i="5"/>
  <c r="AB363" i="5"/>
  <c r="G381" i="5"/>
  <c r="E384" i="5"/>
  <c r="X384" i="5" s="1"/>
  <c r="G388" i="5"/>
  <c r="F388" i="5"/>
  <c r="R388" i="5"/>
  <c r="AB389" i="5"/>
  <c r="T389" i="5"/>
  <c r="G390" i="5"/>
  <c r="AB394" i="5"/>
  <c r="T395" i="5"/>
  <c r="S395" i="5"/>
  <c r="AB395" i="5"/>
  <c r="E415" i="5"/>
  <c r="X415" i="5" s="1"/>
  <c r="R415" i="5"/>
  <c r="J415" i="5"/>
  <c r="I415" i="5"/>
  <c r="AB418" i="5"/>
  <c r="AB421" i="5"/>
  <c r="T421" i="5"/>
  <c r="AB433" i="5"/>
  <c r="AB437" i="5"/>
  <c r="AB441" i="5"/>
  <c r="AB445" i="5"/>
  <c r="AB449" i="5"/>
  <c r="AB453" i="5"/>
  <c r="AB457" i="5"/>
  <c r="AB461" i="5"/>
  <c r="AB465" i="5"/>
  <c r="AB469" i="5"/>
  <c r="AB473" i="5"/>
  <c r="AB477" i="5"/>
  <c r="AB481" i="5"/>
  <c r="AB485" i="5"/>
  <c r="AB489" i="5"/>
  <c r="AB493" i="5"/>
  <c r="E525" i="5"/>
  <c r="X525" i="5" s="1"/>
  <c r="R525" i="5"/>
  <c r="J525" i="5"/>
  <c r="I525" i="5"/>
  <c r="H525" i="5"/>
  <c r="G525" i="5"/>
  <c r="F525" i="5"/>
  <c r="AB543" i="5"/>
  <c r="T543" i="5"/>
  <c r="S543" i="5"/>
  <c r="AB551" i="5"/>
  <c r="T551" i="5"/>
  <c r="S551" i="5"/>
  <c r="V556" i="5"/>
  <c r="V611" i="5"/>
  <c r="G611" i="5" s="1"/>
  <c r="E628" i="5"/>
  <c r="X628" i="5" s="1"/>
  <c r="R628" i="5"/>
  <c r="J628" i="5"/>
  <c r="I628" i="5"/>
  <c r="H628" i="5"/>
  <c r="F628" i="5"/>
  <c r="R343" i="5"/>
  <c r="H345" i="5"/>
  <c r="F345" i="5"/>
  <c r="E345" i="5"/>
  <c r="X345" i="5" s="1"/>
  <c r="G346" i="5"/>
  <c r="J347" i="5"/>
  <c r="I347" i="5"/>
  <c r="I365" i="5"/>
  <c r="H365" i="5"/>
  <c r="F365" i="5"/>
  <c r="E365" i="5"/>
  <c r="X365" i="5" s="1"/>
  <c r="F367" i="5"/>
  <c r="G368" i="5"/>
  <c r="F368" i="5"/>
  <c r="R368" i="5"/>
  <c r="AB369" i="5"/>
  <c r="T369" i="5"/>
  <c r="G370" i="5"/>
  <c r="T375" i="5"/>
  <c r="S375" i="5"/>
  <c r="AB375" i="5"/>
  <c r="E383" i="5"/>
  <c r="X383" i="5" s="1"/>
  <c r="J383" i="5"/>
  <c r="I383" i="5"/>
  <c r="J384" i="5"/>
  <c r="I397" i="5"/>
  <c r="H397" i="5"/>
  <c r="F397" i="5"/>
  <c r="E397" i="5"/>
  <c r="X397" i="5" s="1"/>
  <c r="F399" i="5"/>
  <c r="G400" i="5"/>
  <c r="F400" i="5"/>
  <c r="R400" i="5"/>
  <c r="AB401" i="5"/>
  <c r="T401" i="5"/>
  <c r="G402" i="5"/>
  <c r="T407" i="5"/>
  <c r="S407" i="5"/>
  <c r="AB407" i="5"/>
  <c r="AB417" i="5"/>
  <c r="T417" i="5"/>
  <c r="T431" i="5"/>
  <c r="S431" i="5"/>
  <c r="T435" i="5"/>
  <c r="S435" i="5"/>
  <c r="T439" i="5"/>
  <c r="S439" i="5"/>
  <c r="T443" i="5"/>
  <c r="S443" i="5"/>
  <c r="T447" i="5"/>
  <c r="S447" i="5"/>
  <c r="T451" i="5"/>
  <c r="S451" i="5"/>
  <c r="T455" i="5"/>
  <c r="S455" i="5"/>
  <c r="T459" i="5"/>
  <c r="S459" i="5"/>
  <c r="T463" i="5"/>
  <c r="S463" i="5"/>
  <c r="T467" i="5"/>
  <c r="S467" i="5"/>
  <c r="T471" i="5"/>
  <c r="S471" i="5"/>
  <c r="T475" i="5"/>
  <c r="S475" i="5"/>
  <c r="T479" i="5"/>
  <c r="S479" i="5"/>
  <c r="T483" i="5"/>
  <c r="S483" i="5"/>
  <c r="T487" i="5"/>
  <c r="S487" i="5"/>
  <c r="T491" i="5"/>
  <c r="S491" i="5"/>
  <c r="T495" i="5"/>
  <c r="S495" i="5"/>
  <c r="T499" i="5"/>
  <c r="S499" i="5"/>
  <c r="V532" i="5"/>
  <c r="G532" i="5" s="1"/>
  <c r="F643" i="5"/>
  <c r="E643" i="5"/>
  <c r="X643" i="5" s="1"/>
  <c r="R643" i="5"/>
  <c r="I643" i="5"/>
  <c r="J643" i="5"/>
  <c r="H643" i="5"/>
  <c r="G643" i="5"/>
  <c r="V687" i="5"/>
  <c r="G687" i="5" s="1"/>
  <c r="AB342" i="5"/>
  <c r="X343" i="5"/>
  <c r="AB343" i="5"/>
  <c r="V344" i="5"/>
  <c r="G345" i="5"/>
  <c r="R357" i="5"/>
  <c r="G365" i="5"/>
  <c r="G367" i="5"/>
  <c r="E368" i="5"/>
  <c r="X368" i="5" s="1"/>
  <c r="G372" i="5"/>
  <c r="F372" i="5"/>
  <c r="R372" i="5"/>
  <c r="AB373" i="5"/>
  <c r="T373" i="5"/>
  <c r="G374" i="5"/>
  <c r="AB378" i="5"/>
  <c r="T379" i="5"/>
  <c r="S379" i="5"/>
  <c r="AB379" i="5"/>
  <c r="S385" i="5"/>
  <c r="J388" i="5"/>
  <c r="G397" i="5"/>
  <c r="G399" i="5"/>
  <c r="E400" i="5"/>
  <c r="X400" i="5" s="1"/>
  <c r="I401" i="5"/>
  <c r="H401" i="5"/>
  <c r="F401" i="5"/>
  <c r="E401" i="5"/>
  <c r="X401" i="5" s="1"/>
  <c r="AB405" i="5"/>
  <c r="T405" i="5"/>
  <c r="G406" i="5"/>
  <c r="AB410" i="5"/>
  <c r="T411" i="5"/>
  <c r="S411" i="5"/>
  <c r="AB411" i="5"/>
  <c r="G414" i="5"/>
  <c r="F415" i="5"/>
  <c r="G416" i="5"/>
  <c r="F416" i="5"/>
  <c r="E416" i="5"/>
  <c r="X416" i="5" s="1"/>
  <c r="R416" i="5"/>
  <c r="V417" i="5"/>
  <c r="G417" i="5" s="1"/>
  <c r="S421" i="5"/>
  <c r="V424" i="5"/>
  <c r="V425" i="5"/>
  <c r="G425" i="5" s="1"/>
  <c r="AB496" i="5"/>
  <c r="AB500" i="5"/>
  <c r="AB515" i="5"/>
  <c r="T515" i="5"/>
  <c r="S515" i="5"/>
  <c r="V528" i="5"/>
  <c r="AB532" i="5"/>
  <c r="AB547" i="5"/>
  <c r="T547" i="5"/>
  <c r="S547" i="5"/>
  <c r="E553" i="5"/>
  <c r="X553" i="5" s="1"/>
  <c r="R553" i="5"/>
  <c r="J553" i="5"/>
  <c r="I553" i="5"/>
  <c r="H553" i="5"/>
  <c r="V560" i="5"/>
  <c r="G560" i="5" s="1"/>
  <c r="AB564" i="5"/>
  <c r="AB579" i="5"/>
  <c r="T579" i="5"/>
  <c r="S579" i="5"/>
  <c r="V592" i="5"/>
  <c r="G592" i="5" s="1"/>
  <c r="AB596" i="5"/>
  <c r="R618" i="5"/>
  <c r="J618" i="5"/>
  <c r="I618" i="5"/>
  <c r="H618" i="5"/>
  <c r="F618" i="5"/>
  <c r="J645" i="5"/>
  <c r="I645" i="5"/>
  <c r="H645" i="5"/>
  <c r="E645" i="5"/>
  <c r="X645" i="5" s="1"/>
  <c r="F645" i="5"/>
  <c r="R650" i="5"/>
  <c r="J650" i="5"/>
  <c r="I650" i="5"/>
  <c r="H650" i="5"/>
  <c r="G650" i="5"/>
  <c r="F650" i="5"/>
  <c r="E650" i="5"/>
  <c r="X650" i="5" s="1"/>
  <c r="AB702" i="5"/>
  <c r="V702" i="5"/>
  <c r="G702" i="5" s="1"/>
  <c r="V709" i="5"/>
  <c r="G709" i="5" s="1"/>
  <c r="AB709" i="5"/>
  <c r="AB746" i="5"/>
  <c r="T746" i="5"/>
  <c r="S746" i="5"/>
  <c r="AB422" i="5"/>
  <c r="R423" i="5"/>
  <c r="T427" i="5"/>
  <c r="S428" i="5"/>
  <c r="G430" i="5"/>
  <c r="F434" i="5"/>
  <c r="F438" i="5"/>
  <c r="F442" i="5"/>
  <c r="F446" i="5"/>
  <c r="F450" i="5"/>
  <c r="F458" i="5"/>
  <c r="F462" i="5"/>
  <c r="F466" i="5"/>
  <c r="F474" i="5"/>
  <c r="F478" i="5"/>
  <c r="F482" i="5"/>
  <c r="F490" i="5"/>
  <c r="F494" i="5"/>
  <c r="F498" i="5"/>
  <c r="S504" i="5"/>
  <c r="AB508" i="5"/>
  <c r="F513" i="5"/>
  <c r="AB523" i="5"/>
  <c r="T523" i="5"/>
  <c r="S523" i="5"/>
  <c r="V536" i="5"/>
  <c r="AB540" i="5"/>
  <c r="AB555" i="5"/>
  <c r="T555" i="5"/>
  <c r="S555" i="5"/>
  <c r="V568" i="5"/>
  <c r="G568" i="5" s="1"/>
  <c r="AB572" i="5"/>
  <c r="AB587" i="5"/>
  <c r="T587" i="5"/>
  <c r="S587" i="5"/>
  <c r="V600" i="5"/>
  <c r="G600" i="5" s="1"/>
  <c r="AB604" i="5"/>
  <c r="V613" i="5"/>
  <c r="V637" i="5"/>
  <c r="G637" i="5" s="1"/>
  <c r="T423" i="5"/>
  <c r="AB427" i="5"/>
  <c r="T428" i="5"/>
  <c r="H430" i="5"/>
  <c r="G434" i="5"/>
  <c r="G438" i="5"/>
  <c r="G442" i="5"/>
  <c r="G446" i="5"/>
  <c r="G450" i="5"/>
  <c r="G458" i="5"/>
  <c r="G462" i="5"/>
  <c r="G466" i="5"/>
  <c r="G474" i="5"/>
  <c r="G478" i="5"/>
  <c r="G482" i="5"/>
  <c r="G490" i="5"/>
  <c r="G494" i="5"/>
  <c r="G497" i="5"/>
  <c r="G498" i="5"/>
  <c r="R505" i="5"/>
  <c r="J505" i="5"/>
  <c r="I505" i="5"/>
  <c r="H505" i="5"/>
  <c r="V508" i="5"/>
  <c r="G508" i="5" s="1"/>
  <c r="AB527" i="5"/>
  <c r="T527" i="5"/>
  <c r="S527" i="5"/>
  <c r="E533" i="5"/>
  <c r="X533" i="5" s="1"/>
  <c r="R533" i="5"/>
  <c r="J533" i="5"/>
  <c r="I533" i="5"/>
  <c r="H533" i="5"/>
  <c r="V540" i="5"/>
  <c r="G540" i="5" s="1"/>
  <c r="AB559" i="5"/>
  <c r="T559" i="5"/>
  <c r="S559" i="5"/>
  <c r="V572" i="5"/>
  <c r="G572" i="5" s="1"/>
  <c r="F581" i="5"/>
  <c r="AB591" i="5"/>
  <c r="T591" i="5"/>
  <c r="S591" i="5"/>
  <c r="E597" i="5"/>
  <c r="X597" i="5" s="1"/>
  <c r="R597" i="5"/>
  <c r="J597" i="5"/>
  <c r="I597" i="5"/>
  <c r="H597" i="5"/>
  <c r="V604" i="5"/>
  <c r="G604" i="5" s="1"/>
  <c r="R626" i="5"/>
  <c r="I626" i="5"/>
  <c r="E626" i="5"/>
  <c r="X626" i="5" s="1"/>
  <c r="J626" i="5"/>
  <c r="V649" i="5"/>
  <c r="AB712" i="5"/>
  <c r="V712" i="5"/>
  <c r="G712" i="5" s="1"/>
  <c r="S424" i="5"/>
  <c r="I430" i="5"/>
  <c r="H434" i="5"/>
  <c r="H438" i="5"/>
  <c r="H442" i="5"/>
  <c r="H446" i="5"/>
  <c r="H450" i="5"/>
  <c r="H458" i="5"/>
  <c r="H462" i="5"/>
  <c r="H466" i="5"/>
  <c r="H474" i="5"/>
  <c r="H478" i="5"/>
  <c r="H482" i="5"/>
  <c r="H490" i="5"/>
  <c r="H494" i="5"/>
  <c r="H498" i="5"/>
  <c r="V512" i="5"/>
  <c r="G512" i="5" s="1"/>
  <c r="AB531" i="5"/>
  <c r="T531" i="5"/>
  <c r="S531" i="5"/>
  <c r="V544" i="5"/>
  <c r="G544" i="5" s="1"/>
  <c r="F553" i="5"/>
  <c r="AB563" i="5"/>
  <c r="T563" i="5"/>
  <c r="S563" i="5"/>
  <c r="E569" i="5"/>
  <c r="X569" i="5" s="1"/>
  <c r="R569" i="5"/>
  <c r="J569" i="5"/>
  <c r="I569" i="5"/>
  <c r="H569" i="5"/>
  <c r="V576" i="5"/>
  <c r="G576" i="5" s="1"/>
  <c r="AB595" i="5"/>
  <c r="T595" i="5"/>
  <c r="S595" i="5"/>
  <c r="V608" i="5"/>
  <c r="G618" i="5"/>
  <c r="F626" i="5"/>
  <c r="E685" i="5"/>
  <c r="X685" i="5" s="1"/>
  <c r="R685" i="5"/>
  <c r="J685" i="5"/>
  <c r="I685" i="5"/>
  <c r="H685" i="5"/>
  <c r="F685" i="5"/>
  <c r="AB735" i="5"/>
  <c r="V735" i="5"/>
  <c r="AB423" i="5"/>
  <c r="I428" i="5"/>
  <c r="H428" i="5"/>
  <c r="F428" i="5"/>
  <c r="AB429" i="5"/>
  <c r="V429" i="5"/>
  <c r="S496" i="5"/>
  <c r="S500" i="5"/>
  <c r="V516" i="5"/>
  <c r="AB520" i="5"/>
  <c r="AB535" i="5"/>
  <c r="T535" i="5"/>
  <c r="S535" i="5"/>
  <c r="V548" i="5"/>
  <c r="G548" i="5" s="1"/>
  <c r="AB552" i="5"/>
  <c r="G553" i="5"/>
  <c r="AB567" i="5"/>
  <c r="T567" i="5"/>
  <c r="S567" i="5"/>
  <c r="V580" i="5"/>
  <c r="G580" i="5" s="1"/>
  <c r="AB584" i="5"/>
  <c r="AB599" i="5"/>
  <c r="T599" i="5"/>
  <c r="S599" i="5"/>
  <c r="E605" i="5"/>
  <c r="X605" i="5" s="1"/>
  <c r="R605" i="5"/>
  <c r="J605" i="5"/>
  <c r="I605" i="5"/>
  <c r="H605" i="5"/>
  <c r="E618" i="5"/>
  <c r="X618" i="5" s="1"/>
  <c r="T621" i="5"/>
  <c r="S621" i="5"/>
  <c r="AB621" i="5"/>
  <c r="H626" i="5"/>
  <c r="V644" i="5"/>
  <c r="G644" i="5" s="1"/>
  <c r="AB787" i="5"/>
  <c r="T787" i="5"/>
  <c r="S787" i="5"/>
  <c r="AB424" i="5"/>
  <c r="E430" i="5"/>
  <c r="X430" i="5" s="1"/>
  <c r="J430" i="5"/>
  <c r="E434" i="5"/>
  <c r="X434" i="5" s="1"/>
  <c r="R434" i="5"/>
  <c r="J434" i="5"/>
  <c r="E438" i="5"/>
  <c r="X438" i="5" s="1"/>
  <c r="R438" i="5"/>
  <c r="J438" i="5"/>
  <c r="E442" i="5"/>
  <c r="X442" i="5" s="1"/>
  <c r="R442" i="5"/>
  <c r="J442" i="5"/>
  <c r="E446" i="5"/>
  <c r="X446" i="5" s="1"/>
  <c r="R446" i="5"/>
  <c r="J446" i="5"/>
  <c r="E450" i="5"/>
  <c r="X450" i="5" s="1"/>
  <c r="R450" i="5"/>
  <c r="J450" i="5"/>
  <c r="E458" i="5"/>
  <c r="X458" i="5" s="1"/>
  <c r="R458" i="5"/>
  <c r="J458" i="5"/>
  <c r="E462" i="5"/>
  <c r="X462" i="5" s="1"/>
  <c r="R462" i="5"/>
  <c r="J462" i="5"/>
  <c r="E466" i="5"/>
  <c r="X466" i="5" s="1"/>
  <c r="R466" i="5"/>
  <c r="J466" i="5"/>
  <c r="E474" i="5"/>
  <c r="X474" i="5" s="1"/>
  <c r="R474" i="5"/>
  <c r="J474" i="5"/>
  <c r="E478" i="5"/>
  <c r="X478" i="5" s="1"/>
  <c r="R478" i="5"/>
  <c r="J478" i="5"/>
  <c r="E482" i="5"/>
  <c r="X482" i="5" s="1"/>
  <c r="R482" i="5"/>
  <c r="J482" i="5"/>
  <c r="E490" i="5"/>
  <c r="X490" i="5" s="1"/>
  <c r="R490" i="5"/>
  <c r="J490" i="5"/>
  <c r="E494" i="5"/>
  <c r="X494" i="5" s="1"/>
  <c r="R494" i="5"/>
  <c r="J494" i="5"/>
  <c r="T496" i="5"/>
  <c r="E498" i="5"/>
  <c r="X498" i="5" s="1"/>
  <c r="R498" i="5"/>
  <c r="J498" i="5"/>
  <c r="T500" i="5"/>
  <c r="V501" i="5"/>
  <c r="G501" i="5" s="1"/>
  <c r="AB504" i="5"/>
  <c r="AB507" i="5"/>
  <c r="T507" i="5"/>
  <c r="S507" i="5"/>
  <c r="E513" i="5"/>
  <c r="X513" i="5" s="1"/>
  <c r="R513" i="5"/>
  <c r="J513" i="5"/>
  <c r="I513" i="5"/>
  <c r="H513" i="5"/>
  <c r="V520" i="5"/>
  <c r="G520" i="5" s="1"/>
  <c r="AB524" i="5"/>
  <c r="AB539" i="5"/>
  <c r="T539" i="5"/>
  <c r="S539" i="5"/>
  <c r="V552" i="5"/>
  <c r="G552" i="5" s="1"/>
  <c r="AB556" i="5"/>
  <c r="AB571" i="5"/>
  <c r="T571" i="5"/>
  <c r="S571" i="5"/>
  <c r="V584" i="5"/>
  <c r="G584" i="5" s="1"/>
  <c r="AB603" i="5"/>
  <c r="T603" i="5"/>
  <c r="S603" i="5"/>
  <c r="R634" i="5"/>
  <c r="J634" i="5"/>
  <c r="I634" i="5"/>
  <c r="H634" i="5"/>
  <c r="F634" i="5"/>
  <c r="E634" i="5"/>
  <c r="X634" i="5" s="1"/>
  <c r="R646" i="5"/>
  <c r="J646" i="5"/>
  <c r="I646" i="5"/>
  <c r="G646" i="5"/>
  <c r="H646" i="5"/>
  <c r="F646" i="5"/>
  <c r="E646" i="5"/>
  <c r="X646" i="5" s="1"/>
  <c r="R768" i="5"/>
  <c r="H768" i="5"/>
  <c r="J768" i="5"/>
  <c r="I768" i="5"/>
  <c r="F768" i="5"/>
  <c r="E768" i="5"/>
  <c r="X768" i="5" s="1"/>
  <c r="E581" i="5"/>
  <c r="X581" i="5" s="1"/>
  <c r="R581" i="5"/>
  <c r="J581" i="5"/>
  <c r="I581" i="5"/>
  <c r="H581" i="5"/>
  <c r="V588" i="5"/>
  <c r="G588" i="5" s="1"/>
  <c r="AB592" i="5"/>
  <c r="AB607" i="5"/>
  <c r="T607" i="5"/>
  <c r="S607" i="5"/>
  <c r="V621" i="5"/>
  <c r="S750" i="5"/>
  <c r="AB750" i="5"/>
  <c r="T750" i="5"/>
  <c r="AB755" i="5"/>
  <c r="T755" i="5"/>
  <c r="S755" i="5"/>
  <c r="J502" i="5"/>
  <c r="J506" i="5"/>
  <c r="J514" i="5"/>
  <c r="J526" i="5"/>
  <c r="J538" i="5"/>
  <c r="J554" i="5"/>
  <c r="J562" i="5"/>
  <c r="J566" i="5"/>
  <c r="J582" i="5"/>
  <c r="J586" i="5"/>
  <c r="J594" i="5"/>
  <c r="J598" i="5"/>
  <c r="J606" i="5"/>
  <c r="H609" i="5"/>
  <c r="AB611" i="5"/>
  <c r="AB613" i="5"/>
  <c r="V616" i="5"/>
  <c r="V619" i="5"/>
  <c r="G619" i="5" s="1"/>
  <c r="V624" i="5"/>
  <c r="G624" i="5" s="1"/>
  <c r="G628" i="5"/>
  <c r="AB628" i="5"/>
  <c r="I629" i="5"/>
  <c r="E629" i="5"/>
  <c r="X629" i="5" s="1"/>
  <c r="AB641" i="5"/>
  <c r="T641" i="5"/>
  <c r="E642" i="5"/>
  <c r="X642" i="5" s="1"/>
  <c r="F655" i="5"/>
  <c r="E655" i="5"/>
  <c r="X655" i="5" s="1"/>
  <c r="R655" i="5"/>
  <c r="J655" i="5"/>
  <c r="I655" i="5"/>
  <c r="F667" i="5"/>
  <c r="E667" i="5"/>
  <c r="X667" i="5" s="1"/>
  <c r="R667" i="5"/>
  <c r="J667" i="5"/>
  <c r="I667" i="5"/>
  <c r="F671" i="5"/>
  <c r="E671" i="5"/>
  <c r="X671" i="5" s="1"/>
  <c r="R671" i="5"/>
  <c r="J671" i="5"/>
  <c r="I671" i="5"/>
  <c r="F675" i="5"/>
  <c r="E675" i="5"/>
  <c r="X675" i="5" s="1"/>
  <c r="R675" i="5"/>
  <c r="J675" i="5"/>
  <c r="I675" i="5"/>
  <c r="F679" i="5"/>
  <c r="E679" i="5"/>
  <c r="X679" i="5" s="1"/>
  <c r="R679" i="5"/>
  <c r="J679" i="5"/>
  <c r="I679" i="5"/>
  <c r="F683" i="5"/>
  <c r="E683" i="5"/>
  <c r="X683" i="5" s="1"/>
  <c r="R683" i="5"/>
  <c r="J683" i="5"/>
  <c r="I683" i="5"/>
  <c r="V716" i="5"/>
  <c r="G716" i="5" s="1"/>
  <c r="AB723" i="5"/>
  <c r="V723" i="5"/>
  <c r="G723" i="5" s="1"/>
  <c r="AB727" i="5"/>
  <c r="V727" i="5"/>
  <c r="G727" i="5" s="1"/>
  <c r="AB739" i="5"/>
  <c r="V739" i="5"/>
  <c r="G739" i="5" s="1"/>
  <c r="R752" i="5"/>
  <c r="H752" i="5"/>
  <c r="J752" i="5"/>
  <c r="I752" i="5"/>
  <c r="F752" i="5"/>
  <c r="E752" i="5"/>
  <c r="X752" i="5" s="1"/>
  <c r="AB808" i="5"/>
  <c r="AB918" i="5"/>
  <c r="T918" i="5"/>
  <c r="S918" i="5"/>
  <c r="E990" i="5"/>
  <c r="X990" i="5" s="1"/>
  <c r="R990" i="5"/>
  <c r="J990" i="5"/>
  <c r="H990" i="5"/>
  <c r="G990" i="5"/>
  <c r="F990" i="5"/>
  <c r="I990" i="5"/>
  <c r="R502" i="5"/>
  <c r="R506" i="5"/>
  <c r="R514" i="5"/>
  <c r="R526" i="5"/>
  <c r="R538" i="5"/>
  <c r="R554" i="5"/>
  <c r="R562" i="5"/>
  <c r="R566" i="5"/>
  <c r="R582" i="5"/>
  <c r="R586" i="5"/>
  <c r="R594" i="5"/>
  <c r="R598" i="5"/>
  <c r="R606" i="5"/>
  <c r="J609" i="5"/>
  <c r="S612" i="5"/>
  <c r="I625" i="5"/>
  <c r="E625" i="5"/>
  <c r="X625" i="5" s="1"/>
  <c r="AB629" i="5"/>
  <c r="AB633" i="5"/>
  <c r="T633" i="5"/>
  <c r="F635" i="5"/>
  <c r="E635" i="5"/>
  <c r="X635" i="5" s="1"/>
  <c r="R635" i="5"/>
  <c r="I635" i="5"/>
  <c r="AB636" i="5"/>
  <c r="V636" i="5"/>
  <c r="G636" i="5" s="1"/>
  <c r="G641" i="5"/>
  <c r="F642" i="5"/>
  <c r="R690" i="5"/>
  <c r="J690" i="5"/>
  <c r="I690" i="5"/>
  <c r="H690" i="5"/>
  <c r="AB692" i="5"/>
  <c r="G692" i="5"/>
  <c r="G695" i="5"/>
  <c r="AB695" i="5"/>
  <c r="E704" i="5"/>
  <c r="X704" i="5" s="1"/>
  <c r="R704" i="5"/>
  <c r="J704" i="5"/>
  <c r="I704" i="5"/>
  <c r="H704" i="5"/>
  <c r="E705" i="5"/>
  <c r="X705" i="5" s="1"/>
  <c r="J705" i="5"/>
  <c r="I705" i="5"/>
  <c r="H705" i="5"/>
  <c r="F705" i="5"/>
  <c r="E748" i="5"/>
  <c r="X748" i="5" s="1"/>
  <c r="R748" i="5"/>
  <c r="J748" i="5"/>
  <c r="I748" i="5"/>
  <c r="H748" i="5"/>
  <c r="G748" i="5"/>
  <c r="F748" i="5"/>
  <c r="R776" i="5"/>
  <c r="H776" i="5"/>
  <c r="J776" i="5"/>
  <c r="I776" i="5"/>
  <c r="F776" i="5"/>
  <c r="E776" i="5"/>
  <c r="X776" i="5" s="1"/>
  <c r="AB779" i="5"/>
  <c r="T779" i="5"/>
  <c r="S779" i="5"/>
  <c r="V808" i="5"/>
  <c r="G808" i="5" s="1"/>
  <c r="T830" i="5"/>
  <c r="S830" i="5"/>
  <c r="AB830" i="5"/>
  <c r="E904" i="5"/>
  <c r="X904" i="5" s="1"/>
  <c r="R904" i="5"/>
  <c r="J904" i="5"/>
  <c r="I904" i="5"/>
  <c r="H904" i="5"/>
  <c r="G904" i="5"/>
  <c r="F904" i="5"/>
  <c r="V427" i="5"/>
  <c r="G427" i="5" s="1"/>
  <c r="V431" i="5"/>
  <c r="G431" i="5" s="1"/>
  <c r="S434" i="5"/>
  <c r="V435" i="5"/>
  <c r="G435" i="5" s="1"/>
  <c r="S438" i="5"/>
  <c r="V439" i="5"/>
  <c r="G439" i="5" s="1"/>
  <c r="S442" i="5"/>
  <c r="V443" i="5"/>
  <c r="G443" i="5" s="1"/>
  <c r="S446" i="5"/>
  <c r="V447" i="5"/>
  <c r="G447" i="5" s="1"/>
  <c r="S450" i="5"/>
  <c r="V451" i="5"/>
  <c r="G451" i="5" s="1"/>
  <c r="S454" i="5"/>
  <c r="V455" i="5"/>
  <c r="G455" i="5" s="1"/>
  <c r="S458" i="5"/>
  <c r="V459" i="5"/>
  <c r="S462" i="5"/>
  <c r="V463" i="5"/>
  <c r="G463" i="5" s="1"/>
  <c r="S466" i="5"/>
  <c r="V467" i="5"/>
  <c r="G467" i="5" s="1"/>
  <c r="S470" i="5"/>
  <c r="V471" i="5"/>
  <c r="G471" i="5" s="1"/>
  <c r="S474" i="5"/>
  <c r="V475" i="5"/>
  <c r="G475" i="5" s="1"/>
  <c r="S478" i="5"/>
  <c r="V479" i="5"/>
  <c r="G479" i="5" s="1"/>
  <c r="S482" i="5"/>
  <c r="V483" i="5"/>
  <c r="G483" i="5" s="1"/>
  <c r="S486" i="5"/>
  <c r="V487" i="5"/>
  <c r="G487" i="5" s="1"/>
  <c r="S490" i="5"/>
  <c r="V491" i="5"/>
  <c r="S494" i="5"/>
  <c r="V495" i="5"/>
  <c r="G495" i="5" s="1"/>
  <c r="S498" i="5"/>
  <c r="V499" i="5"/>
  <c r="G499" i="5" s="1"/>
  <c r="S502" i="5"/>
  <c r="V503" i="5"/>
  <c r="G503" i="5" s="1"/>
  <c r="S506" i="5"/>
  <c r="V507" i="5"/>
  <c r="G507" i="5" s="1"/>
  <c r="S510" i="5"/>
  <c r="V511" i="5"/>
  <c r="G511" i="5" s="1"/>
  <c r="S514" i="5"/>
  <c r="V515" i="5"/>
  <c r="G515" i="5" s="1"/>
  <c r="S518" i="5"/>
  <c r="V519" i="5"/>
  <c r="G519" i="5" s="1"/>
  <c r="S522" i="5"/>
  <c r="V523" i="5"/>
  <c r="S526" i="5"/>
  <c r="V527" i="5"/>
  <c r="G527" i="5" s="1"/>
  <c r="S530" i="5"/>
  <c r="V531" i="5"/>
  <c r="G531" i="5" s="1"/>
  <c r="S534" i="5"/>
  <c r="V535" i="5"/>
  <c r="G535" i="5" s="1"/>
  <c r="S538" i="5"/>
  <c r="V539" i="5"/>
  <c r="G539" i="5" s="1"/>
  <c r="S542" i="5"/>
  <c r="V543" i="5"/>
  <c r="G543" i="5" s="1"/>
  <c r="S546" i="5"/>
  <c r="V547" i="5"/>
  <c r="G547" i="5" s="1"/>
  <c r="S550" i="5"/>
  <c r="V551" i="5"/>
  <c r="G551" i="5" s="1"/>
  <c r="S554" i="5"/>
  <c r="V555" i="5"/>
  <c r="G555" i="5" s="1"/>
  <c r="S558" i="5"/>
  <c r="V559" i="5"/>
  <c r="G559" i="5" s="1"/>
  <c r="S562" i="5"/>
  <c r="V563" i="5"/>
  <c r="G563" i="5" s="1"/>
  <c r="S566" i="5"/>
  <c r="V567" i="5"/>
  <c r="G567" i="5" s="1"/>
  <c r="S570" i="5"/>
  <c r="V571" i="5"/>
  <c r="G571" i="5" s="1"/>
  <c r="S574" i="5"/>
  <c r="V575" i="5"/>
  <c r="G575" i="5" s="1"/>
  <c r="S578" i="5"/>
  <c r="V579" i="5"/>
  <c r="G579" i="5" s="1"/>
  <c r="S582" i="5"/>
  <c r="V583" i="5"/>
  <c r="G583" i="5" s="1"/>
  <c r="S586" i="5"/>
  <c r="V587" i="5"/>
  <c r="G587" i="5" s="1"/>
  <c r="S590" i="5"/>
  <c r="V591" i="5"/>
  <c r="G591" i="5" s="1"/>
  <c r="S594" i="5"/>
  <c r="V595" i="5"/>
  <c r="G595" i="5" s="1"/>
  <c r="S598" i="5"/>
  <c r="V599" i="5"/>
  <c r="G599" i="5" s="1"/>
  <c r="S602" i="5"/>
  <c r="V603" i="5"/>
  <c r="G603" i="5" s="1"/>
  <c r="S606" i="5"/>
  <c r="V607" i="5"/>
  <c r="G607" i="5" s="1"/>
  <c r="R609" i="5"/>
  <c r="V610" i="5"/>
  <c r="V614" i="5"/>
  <c r="G614" i="5" s="1"/>
  <c r="V617" i="5"/>
  <c r="AB619" i="5"/>
  <c r="V622" i="5"/>
  <c r="G622" i="5" s="1"/>
  <c r="AB625" i="5"/>
  <c r="G629" i="5"/>
  <c r="R630" i="5"/>
  <c r="I630" i="5"/>
  <c r="G633" i="5"/>
  <c r="G635" i="5"/>
  <c r="F641" i="5"/>
  <c r="E654" i="5"/>
  <c r="X654" i="5" s="1"/>
  <c r="H655" i="5"/>
  <c r="E658" i="5"/>
  <c r="X658" i="5" s="1"/>
  <c r="E662" i="5"/>
  <c r="X662" i="5" s="1"/>
  <c r="E666" i="5"/>
  <c r="X666" i="5" s="1"/>
  <c r="H667" i="5"/>
  <c r="E670" i="5"/>
  <c r="X670" i="5" s="1"/>
  <c r="H671" i="5"/>
  <c r="E674" i="5"/>
  <c r="X674" i="5" s="1"/>
  <c r="H675" i="5"/>
  <c r="H679" i="5"/>
  <c r="E682" i="5"/>
  <c r="X682" i="5" s="1"/>
  <c r="H683" i="5"/>
  <c r="F704" i="5"/>
  <c r="R705" i="5"/>
  <c r="G707" i="5"/>
  <c r="AB707" i="5"/>
  <c r="AB763" i="5"/>
  <c r="T763" i="5"/>
  <c r="S763" i="5"/>
  <c r="V891" i="5"/>
  <c r="G423" i="5"/>
  <c r="S615" i="5"/>
  <c r="S623" i="5"/>
  <c r="G625" i="5"/>
  <c r="F629" i="5"/>
  <c r="H635" i="5"/>
  <c r="AB640" i="5"/>
  <c r="AB645" i="5"/>
  <c r="T645" i="5"/>
  <c r="T697" i="5"/>
  <c r="S697" i="5"/>
  <c r="E700" i="5"/>
  <c r="X700" i="5" s="1"/>
  <c r="R700" i="5"/>
  <c r="J700" i="5"/>
  <c r="I700" i="5"/>
  <c r="H700" i="5"/>
  <c r="G700" i="5"/>
  <c r="F700" i="5"/>
  <c r="G704" i="5"/>
  <c r="R760" i="5"/>
  <c r="H760" i="5"/>
  <c r="J760" i="5"/>
  <c r="I760" i="5"/>
  <c r="F760" i="5"/>
  <c r="E760" i="5"/>
  <c r="X760" i="5" s="1"/>
  <c r="AB879" i="5"/>
  <c r="V615" i="5"/>
  <c r="V620" i="5"/>
  <c r="G620" i="5" s="1"/>
  <c r="V623" i="5"/>
  <c r="G626" i="5"/>
  <c r="AB626" i="5"/>
  <c r="F639" i="5"/>
  <c r="E639" i="5"/>
  <c r="X639" i="5" s="1"/>
  <c r="R639" i="5"/>
  <c r="I639" i="5"/>
  <c r="V640" i="5"/>
  <c r="G640" i="5" s="1"/>
  <c r="R642" i="5"/>
  <c r="J642" i="5"/>
  <c r="I642" i="5"/>
  <c r="G642" i="5"/>
  <c r="G645" i="5"/>
  <c r="AB653" i="5"/>
  <c r="T653" i="5"/>
  <c r="AB657" i="5"/>
  <c r="T657" i="5"/>
  <c r="AB661" i="5"/>
  <c r="T661" i="5"/>
  <c r="AB665" i="5"/>
  <c r="T665" i="5"/>
  <c r="AB669" i="5"/>
  <c r="T669" i="5"/>
  <c r="AB673" i="5"/>
  <c r="T673" i="5"/>
  <c r="AB677" i="5"/>
  <c r="T677" i="5"/>
  <c r="AB681" i="5"/>
  <c r="T681" i="5"/>
  <c r="T685" i="5"/>
  <c r="AB685" i="5"/>
  <c r="R695" i="5"/>
  <c r="I695" i="5"/>
  <c r="J695" i="5"/>
  <c r="H695" i="5"/>
  <c r="F695" i="5"/>
  <c r="E695" i="5"/>
  <c r="X695" i="5" s="1"/>
  <c r="G697" i="5"/>
  <c r="T721" i="5"/>
  <c r="S721" i="5"/>
  <c r="AB721" i="5"/>
  <c r="T725" i="5"/>
  <c r="S725" i="5"/>
  <c r="AB725" i="5"/>
  <c r="T729" i="5"/>
  <c r="S729" i="5"/>
  <c r="AB729" i="5"/>
  <c r="R788" i="5"/>
  <c r="J788" i="5"/>
  <c r="H788" i="5"/>
  <c r="I788" i="5"/>
  <c r="F788" i="5"/>
  <c r="E788" i="5"/>
  <c r="X788" i="5" s="1"/>
  <c r="V791" i="5"/>
  <c r="G791" i="5" s="1"/>
  <c r="R820" i="5"/>
  <c r="J820" i="5"/>
  <c r="I820" i="5"/>
  <c r="H820" i="5"/>
  <c r="F820" i="5"/>
  <c r="E820" i="5"/>
  <c r="X820" i="5" s="1"/>
  <c r="V879" i="5"/>
  <c r="S611" i="5"/>
  <c r="S613" i="5"/>
  <c r="AB632" i="5"/>
  <c r="V632" i="5"/>
  <c r="AB637" i="5"/>
  <c r="T637" i="5"/>
  <c r="J641" i="5"/>
  <c r="I641" i="5"/>
  <c r="H641" i="5"/>
  <c r="E641" i="5"/>
  <c r="X641" i="5" s="1"/>
  <c r="AB649" i="5"/>
  <c r="T649" i="5"/>
  <c r="V653" i="5"/>
  <c r="G653" i="5" s="1"/>
  <c r="R654" i="5"/>
  <c r="J654" i="5"/>
  <c r="I654" i="5"/>
  <c r="H654" i="5"/>
  <c r="G654" i="5"/>
  <c r="V657" i="5"/>
  <c r="R658" i="5"/>
  <c r="J658" i="5"/>
  <c r="I658" i="5"/>
  <c r="H658" i="5"/>
  <c r="G658" i="5"/>
  <c r="V661" i="5"/>
  <c r="R662" i="5"/>
  <c r="J662" i="5"/>
  <c r="I662" i="5"/>
  <c r="H662" i="5"/>
  <c r="G662" i="5"/>
  <c r="V665" i="5"/>
  <c r="R666" i="5"/>
  <c r="J666" i="5"/>
  <c r="I666" i="5"/>
  <c r="H666" i="5"/>
  <c r="G666" i="5"/>
  <c r="V669" i="5"/>
  <c r="R670" i="5"/>
  <c r="J670" i="5"/>
  <c r="I670" i="5"/>
  <c r="H670" i="5"/>
  <c r="G670" i="5"/>
  <c r="V673" i="5"/>
  <c r="R674" i="5"/>
  <c r="J674" i="5"/>
  <c r="I674" i="5"/>
  <c r="H674" i="5"/>
  <c r="G674" i="5"/>
  <c r="V677" i="5"/>
  <c r="G677" i="5" s="1"/>
  <c r="V681" i="5"/>
  <c r="R682" i="5"/>
  <c r="J682" i="5"/>
  <c r="I682" i="5"/>
  <c r="H682" i="5"/>
  <c r="G682" i="5"/>
  <c r="G685" i="5"/>
  <c r="AB687" i="5"/>
  <c r="E692" i="5"/>
  <c r="X692" i="5" s="1"/>
  <c r="R692" i="5"/>
  <c r="J692" i="5"/>
  <c r="I692" i="5"/>
  <c r="H692" i="5"/>
  <c r="E697" i="5"/>
  <c r="X697" i="5" s="1"/>
  <c r="R697" i="5"/>
  <c r="J697" i="5"/>
  <c r="I697" i="5"/>
  <c r="H697" i="5"/>
  <c r="F697" i="5"/>
  <c r="AB716" i="5"/>
  <c r="AB722" i="5"/>
  <c r="S722" i="5"/>
  <c r="T722" i="5"/>
  <c r="AB726" i="5"/>
  <c r="S726" i="5"/>
  <c r="T726" i="5"/>
  <c r="AB771" i="5"/>
  <c r="T771" i="5"/>
  <c r="S771" i="5"/>
  <c r="G630" i="5"/>
  <c r="G634" i="5"/>
  <c r="S689" i="5"/>
  <c r="S693" i="5"/>
  <c r="J701" i="5"/>
  <c r="V710" i="5"/>
  <c r="G710" i="5" s="1"/>
  <c r="R713" i="5"/>
  <c r="E740" i="5"/>
  <c r="X740" i="5" s="1"/>
  <c r="R740" i="5"/>
  <c r="J740" i="5"/>
  <c r="I740" i="5"/>
  <c r="H740" i="5"/>
  <c r="AB742" i="5"/>
  <c r="T742" i="5"/>
  <c r="S742" i="5"/>
  <c r="R784" i="5"/>
  <c r="H784" i="5"/>
  <c r="J784" i="5"/>
  <c r="I784" i="5"/>
  <c r="F784" i="5"/>
  <c r="E784" i="5"/>
  <c r="X784" i="5" s="1"/>
  <c r="V787" i="5"/>
  <c r="G787" i="5" s="1"/>
  <c r="R800" i="5"/>
  <c r="J800" i="5"/>
  <c r="H800" i="5"/>
  <c r="I800" i="5"/>
  <c r="F800" i="5"/>
  <c r="E800" i="5"/>
  <c r="X800" i="5" s="1"/>
  <c r="AB834" i="5"/>
  <c r="T834" i="5"/>
  <c r="S834" i="5"/>
  <c r="E884" i="5"/>
  <c r="X884" i="5" s="1"/>
  <c r="R884" i="5"/>
  <c r="J884" i="5"/>
  <c r="I884" i="5"/>
  <c r="H884" i="5"/>
  <c r="G884" i="5"/>
  <c r="F884" i="5"/>
  <c r="T1015" i="5"/>
  <c r="S1015" i="5"/>
  <c r="AB1015" i="5"/>
  <c r="V689" i="5"/>
  <c r="V698" i="5"/>
  <c r="V703" i="5"/>
  <c r="G703" i="5" s="1"/>
  <c r="G705" i="5"/>
  <c r="AB705" i="5"/>
  <c r="T717" i="5"/>
  <c r="S717" i="5"/>
  <c r="AB717" i="5"/>
  <c r="AB734" i="5"/>
  <c r="T734" i="5"/>
  <c r="S734" i="5"/>
  <c r="AB738" i="5"/>
  <c r="T738" i="5"/>
  <c r="S738" i="5"/>
  <c r="AB799" i="5"/>
  <c r="T799" i="5"/>
  <c r="S799" i="5"/>
  <c r="V815" i="5"/>
  <c r="AB827" i="5"/>
  <c r="T827" i="5"/>
  <c r="S827" i="5"/>
  <c r="V859" i="5"/>
  <c r="AB886" i="5"/>
  <c r="T886" i="5"/>
  <c r="S886" i="5"/>
  <c r="R981" i="5"/>
  <c r="J981" i="5"/>
  <c r="I981" i="5"/>
  <c r="H981" i="5"/>
  <c r="G981" i="5"/>
  <c r="F981" i="5"/>
  <c r="E981" i="5"/>
  <c r="X981" i="5" s="1"/>
  <c r="G1015" i="5"/>
  <c r="F1015" i="5"/>
  <c r="E1015" i="5"/>
  <c r="X1015" i="5" s="1"/>
  <c r="R1015" i="5"/>
  <c r="J1015" i="5"/>
  <c r="I1015" i="5"/>
  <c r="H1015" i="5"/>
  <c r="T640" i="5"/>
  <c r="T644" i="5"/>
  <c r="T648" i="5"/>
  <c r="T652" i="5"/>
  <c r="S686" i="5"/>
  <c r="V691" i="5"/>
  <c r="G691" i="5" s="1"/>
  <c r="G693" i="5"/>
  <c r="AB693" i="5"/>
  <c r="S694" i="5"/>
  <c r="AB698" i="5"/>
  <c r="S701" i="5"/>
  <c r="T706" i="5"/>
  <c r="V708" i="5"/>
  <c r="G708" i="5" s="1"/>
  <c r="T713" i="5"/>
  <c r="S713" i="5"/>
  <c r="AB713" i="5"/>
  <c r="T714" i="5"/>
  <c r="AB718" i="5"/>
  <c r="V757" i="5"/>
  <c r="G757" i="5" s="1"/>
  <c r="V765" i="5"/>
  <c r="G765" i="5" s="1"/>
  <c r="V773" i="5"/>
  <c r="G773" i="5" s="1"/>
  <c r="V799" i="5"/>
  <c r="G799" i="5" s="1"/>
  <c r="E821" i="5"/>
  <c r="X821" i="5" s="1"/>
  <c r="R821" i="5"/>
  <c r="J821" i="5"/>
  <c r="I821" i="5"/>
  <c r="H821" i="5"/>
  <c r="G821" i="5"/>
  <c r="F821" i="5"/>
  <c r="V827" i="5"/>
  <c r="V847" i="5"/>
  <c r="E872" i="5"/>
  <c r="X872" i="5" s="1"/>
  <c r="R872" i="5"/>
  <c r="J872" i="5"/>
  <c r="I872" i="5"/>
  <c r="H872" i="5"/>
  <c r="G872" i="5"/>
  <c r="F872" i="5"/>
  <c r="AB898" i="5"/>
  <c r="T898" i="5"/>
  <c r="S898" i="5"/>
  <c r="V959" i="5"/>
  <c r="G959" i="5" s="1"/>
  <c r="R961" i="5"/>
  <c r="J961" i="5"/>
  <c r="I961" i="5"/>
  <c r="H961" i="5"/>
  <c r="G961" i="5"/>
  <c r="F961" i="5"/>
  <c r="E961" i="5"/>
  <c r="X961" i="5" s="1"/>
  <c r="V648" i="5"/>
  <c r="G648" i="5" s="1"/>
  <c r="V652" i="5"/>
  <c r="G652" i="5" s="1"/>
  <c r="V656" i="5"/>
  <c r="V660" i="5"/>
  <c r="G660" i="5" s="1"/>
  <c r="V664" i="5"/>
  <c r="G664" i="5" s="1"/>
  <c r="V668" i="5"/>
  <c r="V672" i="5"/>
  <c r="G672" i="5" s="1"/>
  <c r="V676" i="5"/>
  <c r="V680" i="5"/>
  <c r="G680" i="5" s="1"/>
  <c r="V684" i="5"/>
  <c r="G684" i="5" s="1"/>
  <c r="F693" i="5"/>
  <c r="T694" i="5"/>
  <c r="V696" i="5"/>
  <c r="G696" i="5" s="1"/>
  <c r="AB703" i="5"/>
  <c r="V706" i="5"/>
  <c r="G706" i="5" s="1"/>
  <c r="V711" i="5"/>
  <c r="X713" i="5"/>
  <c r="V718" i="5"/>
  <c r="G718" i="5" s="1"/>
  <c r="E720" i="5"/>
  <c r="X720" i="5" s="1"/>
  <c r="R720" i="5"/>
  <c r="J720" i="5"/>
  <c r="E724" i="5"/>
  <c r="X724" i="5" s="1"/>
  <c r="R724" i="5"/>
  <c r="J724" i="5"/>
  <c r="H724" i="5"/>
  <c r="AB731" i="5"/>
  <c r="V731" i="5"/>
  <c r="G731" i="5" s="1"/>
  <c r="T733" i="5"/>
  <c r="S733" i="5"/>
  <c r="V781" i="5"/>
  <c r="G781" i="5" s="1"/>
  <c r="G788" i="5"/>
  <c r="AB795" i="5"/>
  <c r="T795" i="5"/>
  <c r="S795" i="5"/>
  <c r="G820" i="5"/>
  <c r="E852" i="5"/>
  <c r="X852" i="5" s="1"/>
  <c r="R852" i="5"/>
  <c r="J852" i="5"/>
  <c r="I852" i="5"/>
  <c r="H852" i="5"/>
  <c r="G852" i="5"/>
  <c r="F852" i="5"/>
  <c r="AB911" i="5"/>
  <c r="V923" i="5"/>
  <c r="G923" i="5" s="1"/>
  <c r="AB960" i="5"/>
  <c r="T960" i="5"/>
  <c r="S960" i="5"/>
  <c r="V686" i="5"/>
  <c r="G686" i="5" s="1"/>
  <c r="S690" i="5"/>
  <c r="H693" i="5"/>
  <c r="V694" i="5"/>
  <c r="V699" i="5"/>
  <c r="G701" i="5"/>
  <c r="AB701" i="5"/>
  <c r="F713" i="5"/>
  <c r="V714" i="5"/>
  <c r="R715" i="5"/>
  <c r="I715" i="5"/>
  <c r="H715" i="5"/>
  <c r="AB730" i="5"/>
  <c r="S730" i="5"/>
  <c r="AB747" i="5"/>
  <c r="V747" i="5"/>
  <c r="G747" i="5" s="1"/>
  <c r="G752" i="5"/>
  <c r="R756" i="5"/>
  <c r="H756" i="5"/>
  <c r="F756" i="5"/>
  <c r="E756" i="5"/>
  <c r="X756" i="5" s="1"/>
  <c r="J756" i="5"/>
  <c r="G760" i="5"/>
  <c r="R764" i="5"/>
  <c r="H764" i="5"/>
  <c r="F764" i="5"/>
  <c r="E764" i="5"/>
  <c r="X764" i="5" s="1"/>
  <c r="J764" i="5"/>
  <c r="G768" i="5"/>
  <c r="R772" i="5"/>
  <c r="H772" i="5"/>
  <c r="F772" i="5"/>
  <c r="E772" i="5"/>
  <c r="X772" i="5" s="1"/>
  <c r="J772" i="5"/>
  <c r="G776" i="5"/>
  <c r="AB784" i="5"/>
  <c r="R792" i="5"/>
  <c r="J792" i="5"/>
  <c r="H792" i="5"/>
  <c r="I792" i="5"/>
  <c r="F792" i="5"/>
  <c r="E792" i="5"/>
  <c r="X792" i="5" s="1"/>
  <c r="V795" i="5"/>
  <c r="G795" i="5" s="1"/>
  <c r="E801" i="5"/>
  <c r="X801" i="5" s="1"/>
  <c r="R801" i="5"/>
  <c r="J801" i="5"/>
  <c r="H801" i="5"/>
  <c r="G801" i="5"/>
  <c r="F801" i="5"/>
  <c r="AB807" i="5"/>
  <c r="T807" i="5"/>
  <c r="S807" i="5"/>
  <c r="V828" i="5"/>
  <c r="G828" i="5" s="1"/>
  <c r="AB854" i="5"/>
  <c r="T854" i="5"/>
  <c r="S854" i="5"/>
  <c r="V911" i="5"/>
  <c r="G911" i="5" s="1"/>
  <c r="I928" i="5"/>
  <c r="H928" i="5"/>
  <c r="R928" i="5"/>
  <c r="J928" i="5"/>
  <c r="F928" i="5"/>
  <c r="E928" i="5"/>
  <c r="X928" i="5" s="1"/>
  <c r="I936" i="5"/>
  <c r="H936" i="5"/>
  <c r="R936" i="5"/>
  <c r="J936" i="5"/>
  <c r="F936" i="5"/>
  <c r="E936" i="5"/>
  <c r="X936" i="5" s="1"/>
  <c r="I944" i="5"/>
  <c r="H944" i="5"/>
  <c r="R944" i="5"/>
  <c r="J944" i="5"/>
  <c r="F944" i="5"/>
  <c r="E944" i="5"/>
  <c r="X944" i="5" s="1"/>
  <c r="G690" i="5"/>
  <c r="I693" i="5"/>
  <c r="F701" i="5"/>
  <c r="H713" i="5"/>
  <c r="X715" i="5"/>
  <c r="I717" i="5"/>
  <c r="F720" i="5"/>
  <c r="G740" i="5"/>
  <c r="AB743" i="5"/>
  <c r="V743" i="5"/>
  <c r="G743" i="5" s="1"/>
  <c r="G756" i="5"/>
  <c r="G764" i="5"/>
  <c r="G772" i="5"/>
  <c r="R780" i="5"/>
  <c r="H780" i="5"/>
  <c r="F780" i="5"/>
  <c r="E780" i="5"/>
  <c r="X780" i="5" s="1"/>
  <c r="J780" i="5"/>
  <c r="G784" i="5"/>
  <c r="AB791" i="5"/>
  <c r="T791" i="5"/>
  <c r="S791" i="5"/>
  <c r="G800" i="5"/>
  <c r="T818" i="5"/>
  <c r="S818" i="5"/>
  <c r="E840" i="5"/>
  <c r="X840" i="5" s="1"/>
  <c r="R840" i="5"/>
  <c r="J840" i="5"/>
  <c r="I840" i="5"/>
  <c r="H840" i="5"/>
  <c r="G840" i="5"/>
  <c r="F840" i="5"/>
  <c r="AB866" i="5"/>
  <c r="T866" i="5"/>
  <c r="S866" i="5"/>
  <c r="E916" i="5"/>
  <c r="X916" i="5" s="1"/>
  <c r="R916" i="5"/>
  <c r="J916" i="5"/>
  <c r="I916" i="5"/>
  <c r="H916" i="5"/>
  <c r="G916" i="5"/>
  <c r="F916" i="5"/>
  <c r="E974" i="5"/>
  <c r="X974" i="5" s="1"/>
  <c r="R974" i="5"/>
  <c r="J974" i="5"/>
  <c r="H974" i="5"/>
  <c r="G974" i="5"/>
  <c r="F974" i="5"/>
  <c r="G1043" i="5"/>
  <c r="F1043" i="5"/>
  <c r="E1043" i="5"/>
  <c r="X1043" i="5" s="1"/>
  <c r="R1043" i="5"/>
  <c r="J1043" i="5"/>
  <c r="I1043" i="5"/>
  <c r="H1043" i="5"/>
  <c r="S753" i="5"/>
  <c r="I755" i="5"/>
  <c r="F755" i="5"/>
  <c r="X755" i="5"/>
  <c r="T758" i="5"/>
  <c r="S761" i="5"/>
  <c r="I763" i="5"/>
  <c r="F763" i="5"/>
  <c r="X763" i="5"/>
  <c r="T766" i="5"/>
  <c r="S769" i="5"/>
  <c r="I771" i="5"/>
  <c r="F771" i="5"/>
  <c r="X771" i="5"/>
  <c r="T774" i="5"/>
  <c r="S777" i="5"/>
  <c r="I779" i="5"/>
  <c r="F779" i="5"/>
  <c r="X779" i="5"/>
  <c r="T782" i="5"/>
  <c r="E785" i="5"/>
  <c r="X785" i="5" s="1"/>
  <c r="J785" i="5"/>
  <c r="E789" i="5"/>
  <c r="X789" i="5" s="1"/>
  <c r="J789" i="5"/>
  <c r="E793" i="5"/>
  <c r="X793" i="5" s="1"/>
  <c r="J793" i="5"/>
  <c r="E797" i="5"/>
  <c r="X797" i="5" s="1"/>
  <c r="J797" i="5"/>
  <c r="V807" i="5"/>
  <c r="T810" i="5"/>
  <c r="S810" i="5"/>
  <c r="R812" i="5"/>
  <c r="J812" i="5"/>
  <c r="I812" i="5"/>
  <c r="H812" i="5"/>
  <c r="AB819" i="5"/>
  <c r="V835" i="5"/>
  <c r="AB842" i="5"/>
  <c r="T842" i="5"/>
  <c r="S842" i="5"/>
  <c r="AB855" i="5"/>
  <c r="E860" i="5"/>
  <c r="X860" i="5" s="1"/>
  <c r="R860" i="5"/>
  <c r="J860" i="5"/>
  <c r="I860" i="5"/>
  <c r="H860" i="5"/>
  <c r="V867" i="5"/>
  <c r="G867" i="5" s="1"/>
  <c r="AB874" i="5"/>
  <c r="T874" i="5"/>
  <c r="S874" i="5"/>
  <c r="AB887" i="5"/>
  <c r="E892" i="5"/>
  <c r="X892" i="5" s="1"/>
  <c r="R892" i="5"/>
  <c r="J892" i="5"/>
  <c r="I892" i="5"/>
  <c r="H892" i="5"/>
  <c r="V899" i="5"/>
  <c r="AB906" i="5"/>
  <c r="T906" i="5"/>
  <c r="S906" i="5"/>
  <c r="AB919" i="5"/>
  <c r="E924" i="5"/>
  <c r="X924" i="5" s="1"/>
  <c r="R924" i="5"/>
  <c r="J924" i="5"/>
  <c r="I924" i="5"/>
  <c r="H924" i="5"/>
  <c r="I952" i="5"/>
  <c r="H952" i="5"/>
  <c r="R952" i="5"/>
  <c r="J952" i="5"/>
  <c r="F952" i="5"/>
  <c r="G960" i="5"/>
  <c r="V1140" i="5"/>
  <c r="G1140" i="5" s="1"/>
  <c r="E761" i="5"/>
  <c r="X761" i="5" s="1"/>
  <c r="J761" i="5"/>
  <c r="E769" i="5"/>
  <c r="X769" i="5" s="1"/>
  <c r="J769" i="5"/>
  <c r="T785" i="5"/>
  <c r="S785" i="5"/>
  <c r="T789" i="5"/>
  <c r="S789" i="5"/>
  <c r="T793" i="5"/>
  <c r="S793" i="5"/>
  <c r="T797" i="5"/>
  <c r="S797" i="5"/>
  <c r="T801" i="5"/>
  <c r="S801" i="5"/>
  <c r="AB801" i="5"/>
  <c r="V819" i="5"/>
  <c r="T822" i="5"/>
  <c r="S822" i="5"/>
  <c r="E825" i="5"/>
  <c r="X825" i="5" s="1"/>
  <c r="R825" i="5"/>
  <c r="J825" i="5"/>
  <c r="E848" i="5"/>
  <c r="X848" i="5" s="1"/>
  <c r="R848" i="5"/>
  <c r="J848" i="5"/>
  <c r="I848" i="5"/>
  <c r="H848" i="5"/>
  <c r="V855" i="5"/>
  <c r="G855" i="5" s="1"/>
  <c r="AB862" i="5"/>
  <c r="T862" i="5"/>
  <c r="S862" i="5"/>
  <c r="V887" i="5"/>
  <c r="G887" i="5" s="1"/>
  <c r="AB894" i="5"/>
  <c r="T894" i="5"/>
  <c r="S894" i="5"/>
  <c r="V919" i="5"/>
  <c r="G919" i="5" s="1"/>
  <c r="T926" i="5"/>
  <c r="S926" i="5"/>
  <c r="AB926" i="5"/>
  <c r="I960" i="5"/>
  <c r="H960" i="5"/>
  <c r="R960" i="5"/>
  <c r="J960" i="5"/>
  <c r="F960" i="5"/>
  <c r="E960" i="5"/>
  <c r="X960" i="5" s="1"/>
  <c r="E978" i="5"/>
  <c r="X978" i="5" s="1"/>
  <c r="R978" i="5"/>
  <c r="J978" i="5"/>
  <c r="H978" i="5"/>
  <c r="G978" i="5"/>
  <c r="F978" i="5"/>
  <c r="R985" i="5"/>
  <c r="J985" i="5"/>
  <c r="I985" i="5"/>
  <c r="H985" i="5"/>
  <c r="G985" i="5"/>
  <c r="F985" i="5"/>
  <c r="E985" i="5"/>
  <c r="X985" i="5" s="1"/>
  <c r="R1033" i="5"/>
  <c r="J1033" i="5"/>
  <c r="I1033" i="5"/>
  <c r="H1033" i="5"/>
  <c r="G1033" i="5"/>
  <c r="F1033" i="5"/>
  <c r="E1033" i="5"/>
  <c r="X1033" i="5" s="1"/>
  <c r="J1124" i="5"/>
  <c r="I1124" i="5"/>
  <c r="H1124" i="5"/>
  <c r="E1124" i="5"/>
  <c r="X1124" i="5" s="1"/>
  <c r="R1124" i="5"/>
  <c r="F1124" i="5"/>
  <c r="J1128" i="5"/>
  <c r="I1128" i="5"/>
  <c r="H1128" i="5"/>
  <c r="E1128" i="5"/>
  <c r="X1128" i="5" s="1"/>
  <c r="R1128" i="5"/>
  <c r="F1128" i="5"/>
  <c r="V722" i="5"/>
  <c r="G722" i="5" s="1"/>
  <c r="V726" i="5"/>
  <c r="G726" i="5" s="1"/>
  <c r="V730" i="5"/>
  <c r="V734" i="5"/>
  <c r="G734" i="5" s="1"/>
  <c r="S737" i="5"/>
  <c r="V738" i="5"/>
  <c r="G738" i="5" s="1"/>
  <c r="S741" i="5"/>
  <c r="V742" i="5"/>
  <c r="G742" i="5" s="1"/>
  <c r="S745" i="5"/>
  <c r="V746" i="5"/>
  <c r="G746" i="5" s="1"/>
  <c r="S749" i="5"/>
  <c r="F750" i="5"/>
  <c r="G755" i="5"/>
  <c r="E758" i="5"/>
  <c r="X758" i="5" s="1"/>
  <c r="AB758" i="5"/>
  <c r="G763" i="5"/>
  <c r="E766" i="5"/>
  <c r="X766" i="5" s="1"/>
  <c r="AB766" i="5"/>
  <c r="G771" i="5"/>
  <c r="E774" i="5"/>
  <c r="X774" i="5" s="1"/>
  <c r="AB774" i="5"/>
  <c r="G779" i="5"/>
  <c r="E782" i="5"/>
  <c r="X782" i="5" s="1"/>
  <c r="AB782" i="5"/>
  <c r="AB785" i="5"/>
  <c r="AB789" i="5"/>
  <c r="AB793" i="5"/>
  <c r="AB797" i="5"/>
  <c r="T802" i="5"/>
  <c r="S802" i="5"/>
  <c r="R804" i="5"/>
  <c r="J804" i="5"/>
  <c r="I804" i="5"/>
  <c r="H804" i="5"/>
  <c r="E805" i="5"/>
  <c r="X805" i="5" s="1"/>
  <c r="R805" i="5"/>
  <c r="J805" i="5"/>
  <c r="AB822" i="5"/>
  <c r="V831" i="5"/>
  <c r="V843" i="5"/>
  <c r="G843" i="5" s="1"/>
  <c r="AB850" i="5"/>
  <c r="T850" i="5"/>
  <c r="S850" i="5"/>
  <c r="E868" i="5"/>
  <c r="X868" i="5" s="1"/>
  <c r="R868" i="5"/>
  <c r="J868" i="5"/>
  <c r="I868" i="5"/>
  <c r="H868" i="5"/>
  <c r="V875" i="5"/>
  <c r="G875" i="5" s="1"/>
  <c r="AB882" i="5"/>
  <c r="T882" i="5"/>
  <c r="S882" i="5"/>
  <c r="E900" i="5"/>
  <c r="X900" i="5" s="1"/>
  <c r="R900" i="5"/>
  <c r="J900" i="5"/>
  <c r="I900" i="5"/>
  <c r="H900" i="5"/>
  <c r="V907" i="5"/>
  <c r="G907" i="5" s="1"/>
  <c r="AB914" i="5"/>
  <c r="T914" i="5"/>
  <c r="S914" i="5"/>
  <c r="I956" i="5"/>
  <c r="H956" i="5"/>
  <c r="R956" i="5"/>
  <c r="J956" i="5"/>
  <c r="F956" i="5"/>
  <c r="E956" i="5"/>
  <c r="X956" i="5" s="1"/>
  <c r="V965" i="5"/>
  <c r="G965" i="5" s="1"/>
  <c r="E1026" i="5"/>
  <c r="X1026" i="5" s="1"/>
  <c r="R1026" i="5"/>
  <c r="J1026" i="5"/>
  <c r="I1026" i="5"/>
  <c r="H1026" i="5"/>
  <c r="G1026" i="5"/>
  <c r="F1026" i="5"/>
  <c r="G750" i="5"/>
  <c r="AB753" i="5"/>
  <c r="H755" i="5"/>
  <c r="F758" i="5"/>
  <c r="F761" i="5"/>
  <c r="AB761" i="5"/>
  <c r="H763" i="5"/>
  <c r="F766" i="5"/>
  <c r="F769" i="5"/>
  <c r="AB769" i="5"/>
  <c r="H771" i="5"/>
  <c r="F774" i="5"/>
  <c r="T775" i="5"/>
  <c r="AB777" i="5"/>
  <c r="H779" i="5"/>
  <c r="F782" i="5"/>
  <c r="T783" i="5"/>
  <c r="F785" i="5"/>
  <c r="T786" i="5"/>
  <c r="F789" i="5"/>
  <c r="T790" i="5"/>
  <c r="F793" i="5"/>
  <c r="T794" i="5"/>
  <c r="F797" i="5"/>
  <c r="T798" i="5"/>
  <c r="AB802" i="5"/>
  <c r="AB804" i="5"/>
  <c r="V811" i="5"/>
  <c r="G811" i="5" s="1"/>
  <c r="E812" i="5"/>
  <c r="X812" i="5" s="1"/>
  <c r="T814" i="5"/>
  <c r="S814" i="5"/>
  <c r="R816" i="5"/>
  <c r="J816" i="5"/>
  <c r="I816" i="5"/>
  <c r="H816" i="5"/>
  <c r="AB823" i="5"/>
  <c r="AB838" i="5"/>
  <c r="T838" i="5"/>
  <c r="S838" i="5"/>
  <c r="AB851" i="5"/>
  <c r="E856" i="5"/>
  <c r="X856" i="5" s="1"/>
  <c r="R856" i="5"/>
  <c r="J856" i="5"/>
  <c r="I856" i="5"/>
  <c r="H856" i="5"/>
  <c r="V863" i="5"/>
  <c r="AB870" i="5"/>
  <c r="T870" i="5"/>
  <c r="S870" i="5"/>
  <c r="AB883" i="5"/>
  <c r="V895" i="5"/>
  <c r="G895" i="5" s="1"/>
  <c r="AB902" i="5"/>
  <c r="T902" i="5"/>
  <c r="S902" i="5"/>
  <c r="AB915" i="5"/>
  <c r="G928" i="5"/>
  <c r="G936" i="5"/>
  <c r="E966" i="5"/>
  <c r="X966" i="5" s="1"/>
  <c r="R966" i="5"/>
  <c r="I966" i="5"/>
  <c r="H966" i="5"/>
  <c r="G966" i="5"/>
  <c r="F966" i="5"/>
  <c r="R973" i="5"/>
  <c r="J973" i="5"/>
  <c r="I973" i="5"/>
  <c r="H973" i="5"/>
  <c r="G973" i="5"/>
  <c r="F973" i="5"/>
  <c r="E973" i="5"/>
  <c r="X973" i="5" s="1"/>
  <c r="E982" i="5"/>
  <c r="X982" i="5" s="1"/>
  <c r="R982" i="5"/>
  <c r="J982" i="5"/>
  <c r="H982" i="5"/>
  <c r="G982" i="5"/>
  <c r="F982" i="5"/>
  <c r="R989" i="5"/>
  <c r="J989" i="5"/>
  <c r="I989" i="5"/>
  <c r="H989" i="5"/>
  <c r="G989" i="5"/>
  <c r="F989" i="5"/>
  <c r="E989" i="5"/>
  <c r="X989" i="5" s="1"/>
  <c r="AB1025" i="5"/>
  <c r="V729" i="5"/>
  <c r="G729" i="5" s="1"/>
  <c r="V733" i="5"/>
  <c r="G733" i="5" s="1"/>
  <c r="V737" i="5"/>
  <c r="G737" i="5" s="1"/>
  <c r="V741" i="5"/>
  <c r="G741" i="5" s="1"/>
  <c r="V745" i="5"/>
  <c r="G745" i="5" s="1"/>
  <c r="V749" i="5"/>
  <c r="G749" i="5" s="1"/>
  <c r="H750" i="5"/>
  <c r="I751" i="5"/>
  <c r="F751" i="5"/>
  <c r="T754" i="5"/>
  <c r="J755" i="5"/>
  <c r="H758" i="5"/>
  <c r="I759" i="5"/>
  <c r="F759" i="5"/>
  <c r="T762" i="5"/>
  <c r="J763" i="5"/>
  <c r="H766" i="5"/>
  <c r="I767" i="5"/>
  <c r="F767" i="5"/>
  <c r="T770" i="5"/>
  <c r="J771" i="5"/>
  <c r="H774" i="5"/>
  <c r="I775" i="5"/>
  <c r="F775" i="5"/>
  <c r="T778" i="5"/>
  <c r="J779" i="5"/>
  <c r="H782" i="5"/>
  <c r="I783" i="5"/>
  <c r="F783" i="5"/>
  <c r="G785" i="5"/>
  <c r="G789" i="5"/>
  <c r="G793" i="5"/>
  <c r="G797" i="5"/>
  <c r="F812" i="5"/>
  <c r="V823" i="5"/>
  <c r="T826" i="5"/>
  <c r="S826" i="5"/>
  <c r="V851" i="5"/>
  <c r="G851" i="5" s="1"/>
  <c r="AB858" i="5"/>
  <c r="T858" i="5"/>
  <c r="S858" i="5"/>
  <c r="F860" i="5"/>
  <c r="E876" i="5"/>
  <c r="X876" i="5" s="1"/>
  <c r="R876" i="5"/>
  <c r="J876" i="5"/>
  <c r="I876" i="5"/>
  <c r="H876" i="5"/>
  <c r="V883" i="5"/>
  <c r="AB890" i="5"/>
  <c r="T890" i="5"/>
  <c r="S890" i="5"/>
  <c r="F892" i="5"/>
  <c r="E908" i="5"/>
  <c r="X908" i="5" s="1"/>
  <c r="R908" i="5"/>
  <c r="J908" i="5"/>
  <c r="I908" i="5"/>
  <c r="H908" i="5"/>
  <c r="V915" i="5"/>
  <c r="G915" i="5" s="1"/>
  <c r="AB922" i="5"/>
  <c r="T922" i="5"/>
  <c r="S922" i="5"/>
  <c r="F924" i="5"/>
  <c r="R933" i="5"/>
  <c r="J933" i="5"/>
  <c r="I933" i="5"/>
  <c r="H933" i="5"/>
  <c r="R941" i="5"/>
  <c r="J941" i="5"/>
  <c r="I941" i="5"/>
  <c r="H941" i="5"/>
  <c r="G944" i="5"/>
  <c r="AB992" i="5"/>
  <c r="T992" i="5"/>
  <c r="S992" i="5"/>
  <c r="AB995" i="5"/>
  <c r="T995" i="5"/>
  <c r="S995" i="5"/>
  <c r="V1025" i="5"/>
  <c r="G1025" i="5" s="1"/>
  <c r="AB1052" i="5"/>
  <c r="T1052" i="5"/>
  <c r="S1052" i="5"/>
  <c r="R1101" i="5"/>
  <c r="J1101" i="5"/>
  <c r="F1101" i="5"/>
  <c r="E1101" i="5"/>
  <c r="X1101" i="5" s="1"/>
  <c r="I1101" i="5"/>
  <c r="H1101" i="5"/>
  <c r="G713" i="5"/>
  <c r="G717" i="5"/>
  <c r="G721" i="5"/>
  <c r="G725" i="5"/>
  <c r="E751" i="5"/>
  <c r="X751" i="5" s="1"/>
  <c r="AB751" i="5"/>
  <c r="R755" i="5"/>
  <c r="E759" i="5"/>
  <c r="X759" i="5" s="1"/>
  <c r="AB759" i="5"/>
  <c r="H761" i="5"/>
  <c r="X762" i="5"/>
  <c r="R763" i="5"/>
  <c r="E767" i="5"/>
  <c r="X767" i="5" s="1"/>
  <c r="AB767" i="5"/>
  <c r="H769" i="5"/>
  <c r="R771" i="5"/>
  <c r="E775" i="5"/>
  <c r="X775" i="5" s="1"/>
  <c r="R779" i="5"/>
  <c r="E783" i="5"/>
  <c r="X783" i="5" s="1"/>
  <c r="H785" i="5"/>
  <c r="AB786" i="5"/>
  <c r="H789" i="5"/>
  <c r="AB790" i="5"/>
  <c r="H793" i="5"/>
  <c r="AB794" i="5"/>
  <c r="H797" i="5"/>
  <c r="AB798" i="5"/>
  <c r="V803" i="5"/>
  <c r="G803" i="5" s="1"/>
  <c r="E804" i="5"/>
  <c r="X804" i="5" s="1"/>
  <c r="T806" i="5"/>
  <c r="S806" i="5"/>
  <c r="E809" i="5"/>
  <c r="X809" i="5" s="1"/>
  <c r="R809" i="5"/>
  <c r="J809" i="5"/>
  <c r="AB815" i="5"/>
  <c r="S819" i="5"/>
  <c r="F825" i="5"/>
  <c r="AB826" i="5"/>
  <c r="AB828" i="5"/>
  <c r="V832" i="5"/>
  <c r="G832" i="5" s="1"/>
  <c r="V839" i="5"/>
  <c r="G839" i="5" s="1"/>
  <c r="AB846" i="5"/>
  <c r="T846" i="5"/>
  <c r="S846" i="5"/>
  <c r="F848" i="5"/>
  <c r="AB859" i="5"/>
  <c r="G860" i="5"/>
  <c r="E864" i="5"/>
  <c r="X864" i="5" s="1"/>
  <c r="R864" i="5"/>
  <c r="J864" i="5"/>
  <c r="I864" i="5"/>
  <c r="H864" i="5"/>
  <c r="V871" i="5"/>
  <c r="G871" i="5" s="1"/>
  <c r="AB878" i="5"/>
  <c r="T878" i="5"/>
  <c r="S878" i="5"/>
  <c r="AB891" i="5"/>
  <c r="G892" i="5"/>
  <c r="E896" i="5"/>
  <c r="X896" i="5" s="1"/>
  <c r="R896" i="5"/>
  <c r="J896" i="5"/>
  <c r="I896" i="5"/>
  <c r="H896" i="5"/>
  <c r="V903" i="5"/>
  <c r="G903" i="5" s="1"/>
  <c r="AB910" i="5"/>
  <c r="T910" i="5"/>
  <c r="S910" i="5"/>
  <c r="AB923" i="5"/>
  <c r="G924" i="5"/>
  <c r="S931" i="5"/>
  <c r="E933" i="5"/>
  <c r="X933" i="5" s="1"/>
  <c r="S939" i="5"/>
  <c r="E941" i="5"/>
  <c r="X941" i="5" s="1"/>
  <c r="R949" i="5"/>
  <c r="J949" i="5"/>
  <c r="I949" i="5"/>
  <c r="H949" i="5"/>
  <c r="G952" i="5"/>
  <c r="T959" i="5"/>
  <c r="AB959" i="5"/>
  <c r="S959" i="5"/>
  <c r="E970" i="5"/>
  <c r="X970" i="5" s="1"/>
  <c r="R970" i="5"/>
  <c r="J970" i="5"/>
  <c r="H970" i="5"/>
  <c r="G970" i="5"/>
  <c r="F970" i="5"/>
  <c r="E986" i="5"/>
  <c r="X986" i="5" s="1"/>
  <c r="R986" i="5"/>
  <c r="J986" i="5"/>
  <c r="H986" i="5"/>
  <c r="G986" i="5"/>
  <c r="F986" i="5"/>
  <c r="T1019" i="5"/>
  <c r="S1019" i="5"/>
  <c r="AB1019" i="5"/>
  <c r="V1048" i="5"/>
  <c r="G1048" i="5" s="1"/>
  <c r="J833" i="5"/>
  <c r="J837" i="5"/>
  <c r="J841" i="5"/>
  <c r="J845" i="5"/>
  <c r="J849" i="5"/>
  <c r="J853" i="5"/>
  <c r="J857" i="5"/>
  <c r="J861" i="5"/>
  <c r="J865" i="5"/>
  <c r="J869" i="5"/>
  <c r="J873" i="5"/>
  <c r="J877" i="5"/>
  <c r="J881" i="5"/>
  <c r="J885" i="5"/>
  <c r="J897" i="5"/>
  <c r="J901" i="5"/>
  <c r="J905" i="5"/>
  <c r="J909" i="5"/>
  <c r="J913" i="5"/>
  <c r="J917" i="5"/>
  <c r="J925" i="5"/>
  <c r="V926" i="5"/>
  <c r="G926" i="5" s="1"/>
  <c r="H930" i="5"/>
  <c r="V931" i="5"/>
  <c r="G931" i="5" s="1"/>
  <c r="S932" i="5"/>
  <c r="G933" i="5"/>
  <c r="T934" i="5"/>
  <c r="S934" i="5"/>
  <c r="V939" i="5"/>
  <c r="G939" i="5" s="1"/>
  <c r="S940" i="5"/>
  <c r="G941" i="5"/>
  <c r="T942" i="5"/>
  <c r="S942" i="5"/>
  <c r="V947" i="5"/>
  <c r="G947" i="5" s="1"/>
  <c r="S948" i="5"/>
  <c r="G949" i="5"/>
  <c r="T950" i="5"/>
  <c r="S950" i="5"/>
  <c r="V955" i="5"/>
  <c r="G955" i="5" s="1"/>
  <c r="AB956" i="5"/>
  <c r="J964" i="5"/>
  <c r="V992" i="5"/>
  <c r="G992" i="5" s="1"/>
  <c r="R998" i="5"/>
  <c r="J998" i="5"/>
  <c r="I998" i="5"/>
  <c r="H998" i="5"/>
  <c r="G998" i="5"/>
  <c r="F998" i="5"/>
  <c r="E998" i="5"/>
  <c r="X998" i="5" s="1"/>
  <c r="R1029" i="5"/>
  <c r="J1029" i="5"/>
  <c r="I1029" i="5"/>
  <c r="H1029" i="5"/>
  <c r="F1029" i="5"/>
  <c r="E1029" i="5"/>
  <c r="X1029" i="5" s="1"/>
  <c r="V1052" i="5"/>
  <c r="AB1059" i="5"/>
  <c r="T1059" i="5"/>
  <c r="S1059" i="5"/>
  <c r="J1089" i="5"/>
  <c r="R1089" i="5"/>
  <c r="I1089" i="5"/>
  <c r="H1089" i="5"/>
  <c r="F1089" i="5"/>
  <c r="E1089" i="5"/>
  <c r="X1089" i="5" s="1"/>
  <c r="J1097" i="5"/>
  <c r="R1097" i="5"/>
  <c r="I1097" i="5"/>
  <c r="H1097" i="5"/>
  <c r="F1097" i="5"/>
  <c r="E1097" i="5"/>
  <c r="X1097" i="5" s="1"/>
  <c r="R833" i="5"/>
  <c r="R837" i="5"/>
  <c r="R841" i="5"/>
  <c r="R845" i="5"/>
  <c r="R849" i="5"/>
  <c r="R853" i="5"/>
  <c r="R857" i="5"/>
  <c r="R861" i="5"/>
  <c r="R865" i="5"/>
  <c r="R869" i="5"/>
  <c r="R873" i="5"/>
  <c r="R877" i="5"/>
  <c r="R881" i="5"/>
  <c r="R885" i="5"/>
  <c r="R897" i="5"/>
  <c r="R901" i="5"/>
  <c r="R905" i="5"/>
  <c r="R909" i="5"/>
  <c r="R913" i="5"/>
  <c r="R917" i="5"/>
  <c r="R925" i="5"/>
  <c r="V929" i="5"/>
  <c r="I930" i="5"/>
  <c r="T932" i="5"/>
  <c r="V937" i="5"/>
  <c r="T940" i="5"/>
  <c r="V945" i="5"/>
  <c r="T948" i="5"/>
  <c r="V953" i="5"/>
  <c r="G956" i="5"/>
  <c r="R957" i="5"/>
  <c r="J957" i="5"/>
  <c r="I957" i="5"/>
  <c r="E962" i="5"/>
  <c r="X962" i="5" s="1"/>
  <c r="R962" i="5"/>
  <c r="G1011" i="5"/>
  <c r="F1011" i="5"/>
  <c r="E1011" i="5"/>
  <c r="X1011" i="5" s="1"/>
  <c r="R1011" i="5"/>
  <c r="J1011" i="5"/>
  <c r="I1011" i="5"/>
  <c r="V1016" i="5"/>
  <c r="G1016" i="5" s="1"/>
  <c r="H1059" i="5"/>
  <c r="G1059" i="5"/>
  <c r="F1059" i="5"/>
  <c r="E1059" i="5"/>
  <c r="X1059" i="5" s="1"/>
  <c r="R1059" i="5"/>
  <c r="J1059" i="5"/>
  <c r="I1059" i="5"/>
  <c r="T1172" i="5"/>
  <c r="S1172" i="5"/>
  <c r="AB1172" i="5"/>
  <c r="AB1201" i="5"/>
  <c r="T1201" i="5"/>
  <c r="S1201" i="5"/>
  <c r="S805" i="5"/>
  <c r="S809" i="5"/>
  <c r="S813" i="5"/>
  <c r="S817" i="5"/>
  <c r="S821" i="5"/>
  <c r="S825" i="5"/>
  <c r="S829" i="5"/>
  <c r="S833" i="5"/>
  <c r="S837" i="5"/>
  <c r="S841" i="5"/>
  <c r="S845" i="5"/>
  <c r="S849" i="5"/>
  <c r="S853" i="5"/>
  <c r="S857" i="5"/>
  <c r="S861" i="5"/>
  <c r="S865" i="5"/>
  <c r="S869" i="5"/>
  <c r="S873" i="5"/>
  <c r="S877" i="5"/>
  <c r="S881" i="5"/>
  <c r="S885" i="5"/>
  <c r="S889" i="5"/>
  <c r="S893" i="5"/>
  <c r="S897" i="5"/>
  <c r="S901" i="5"/>
  <c r="S905" i="5"/>
  <c r="S909" i="5"/>
  <c r="S913" i="5"/>
  <c r="S917" i="5"/>
  <c r="S921" i="5"/>
  <c r="S925" i="5"/>
  <c r="J930" i="5"/>
  <c r="V932" i="5"/>
  <c r="V940" i="5"/>
  <c r="V948" i="5"/>
  <c r="S963" i="5"/>
  <c r="S964" i="5"/>
  <c r="T967" i="5"/>
  <c r="S967" i="5"/>
  <c r="V968" i="5"/>
  <c r="G968" i="5" s="1"/>
  <c r="T971" i="5"/>
  <c r="S971" i="5"/>
  <c r="V972" i="5"/>
  <c r="T975" i="5"/>
  <c r="S975" i="5"/>
  <c r="V976" i="5"/>
  <c r="T979" i="5"/>
  <c r="S979" i="5"/>
  <c r="V980" i="5"/>
  <c r="T983" i="5"/>
  <c r="S983" i="5"/>
  <c r="V984" i="5"/>
  <c r="G984" i="5" s="1"/>
  <c r="T987" i="5"/>
  <c r="S987" i="5"/>
  <c r="V988" i="5"/>
  <c r="G988" i="5" s="1"/>
  <c r="AB991" i="5"/>
  <c r="T991" i="5"/>
  <c r="S991" i="5"/>
  <c r="V997" i="5"/>
  <c r="G997" i="5" s="1"/>
  <c r="AB1020" i="5"/>
  <c r="T1020" i="5"/>
  <c r="S1020" i="5"/>
  <c r="V1053" i="5"/>
  <c r="G1053" i="5" s="1"/>
  <c r="V1088" i="5"/>
  <c r="G1088" i="5" s="1"/>
  <c r="T1168" i="5"/>
  <c r="S1168" i="5"/>
  <c r="AB1168" i="5"/>
  <c r="G754" i="5"/>
  <c r="G758" i="5"/>
  <c r="G762" i="5"/>
  <c r="G766" i="5"/>
  <c r="G770" i="5"/>
  <c r="G774" i="5"/>
  <c r="G778" i="5"/>
  <c r="G782" i="5"/>
  <c r="G786" i="5"/>
  <c r="G790" i="5"/>
  <c r="G794" i="5"/>
  <c r="G798" i="5"/>
  <c r="G802" i="5"/>
  <c r="G806" i="5"/>
  <c r="G810" i="5"/>
  <c r="G814" i="5"/>
  <c r="G822" i="5"/>
  <c r="G826" i="5"/>
  <c r="G830" i="5"/>
  <c r="E833" i="5"/>
  <c r="X833" i="5" s="1"/>
  <c r="G834" i="5"/>
  <c r="E837" i="5"/>
  <c r="X837" i="5" s="1"/>
  <c r="G838" i="5"/>
  <c r="E841" i="5"/>
  <c r="X841" i="5" s="1"/>
  <c r="G842" i="5"/>
  <c r="E845" i="5"/>
  <c r="X845" i="5" s="1"/>
  <c r="G846" i="5"/>
  <c r="E849" i="5"/>
  <c r="X849" i="5" s="1"/>
  <c r="G850" i="5"/>
  <c r="E853" i="5"/>
  <c r="X853" i="5" s="1"/>
  <c r="G854" i="5"/>
  <c r="E857" i="5"/>
  <c r="X857" i="5" s="1"/>
  <c r="G858" i="5"/>
  <c r="E861" i="5"/>
  <c r="X861" i="5" s="1"/>
  <c r="G862" i="5"/>
  <c r="E865" i="5"/>
  <c r="X865" i="5" s="1"/>
  <c r="G866" i="5"/>
  <c r="E869" i="5"/>
  <c r="X869" i="5" s="1"/>
  <c r="G870" i="5"/>
  <c r="E873" i="5"/>
  <c r="X873" i="5" s="1"/>
  <c r="G874" i="5"/>
  <c r="E877" i="5"/>
  <c r="X877" i="5" s="1"/>
  <c r="G878" i="5"/>
  <c r="E881" i="5"/>
  <c r="X881" i="5" s="1"/>
  <c r="G882" i="5"/>
  <c r="E885" i="5"/>
  <c r="X885" i="5" s="1"/>
  <c r="G886" i="5"/>
  <c r="G890" i="5"/>
  <c r="G894" i="5"/>
  <c r="E897" i="5"/>
  <c r="X897" i="5" s="1"/>
  <c r="G898" i="5"/>
  <c r="E901" i="5"/>
  <c r="X901" i="5" s="1"/>
  <c r="G902" i="5"/>
  <c r="E905" i="5"/>
  <c r="X905" i="5" s="1"/>
  <c r="G906" i="5"/>
  <c r="E909" i="5"/>
  <c r="X909" i="5" s="1"/>
  <c r="G910" i="5"/>
  <c r="E913" i="5"/>
  <c r="X913" i="5" s="1"/>
  <c r="G914" i="5"/>
  <c r="E917" i="5"/>
  <c r="X917" i="5" s="1"/>
  <c r="G918" i="5"/>
  <c r="G922" i="5"/>
  <c r="E925" i="5"/>
  <c r="X925" i="5" s="1"/>
  <c r="R930" i="5"/>
  <c r="G934" i="5"/>
  <c r="E957" i="5"/>
  <c r="X957" i="5" s="1"/>
  <c r="E958" i="5"/>
  <c r="X958" i="5" s="1"/>
  <c r="R958" i="5"/>
  <c r="AB963" i="5"/>
  <c r="T964" i="5"/>
  <c r="V1020" i="5"/>
  <c r="G1020" i="5" s="1"/>
  <c r="T1047" i="5"/>
  <c r="S1047" i="5"/>
  <c r="AB1047" i="5"/>
  <c r="R1065" i="5"/>
  <c r="J1065" i="5"/>
  <c r="I1065" i="5"/>
  <c r="H1065" i="5"/>
  <c r="G1065" i="5"/>
  <c r="F1065" i="5"/>
  <c r="E1065" i="5"/>
  <c r="X1065" i="5" s="1"/>
  <c r="T1068" i="5"/>
  <c r="AB1068" i="5"/>
  <c r="S1068" i="5"/>
  <c r="V1096" i="5"/>
  <c r="G1096" i="5" s="1"/>
  <c r="T1163" i="5"/>
  <c r="AB1163" i="5"/>
  <c r="S1163" i="5"/>
  <c r="V927" i="5"/>
  <c r="AB927" i="5"/>
  <c r="T930" i="5"/>
  <c r="S930" i="5"/>
  <c r="V935" i="5"/>
  <c r="AB935" i="5"/>
  <c r="T938" i="5"/>
  <c r="S938" i="5"/>
  <c r="V943" i="5"/>
  <c r="G943" i="5" s="1"/>
  <c r="AB943" i="5"/>
  <c r="T946" i="5"/>
  <c r="S946" i="5"/>
  <c r="V951" i="5"/>
  <c r="G951" i="5" s="1"/>
  <c r="AB951" i="5"/>
  <c r="T954" i="5"/>
  <c r="S954" i="5"/>
  <c r="I964" i="5"/>
  <c r="H964" i="5"/>
  <c r="AB1024" i="5"/>
  <c r="T1024" i="5"/>
  <c r="S1024" i="5"/>
  <c r="G1047" i="5"/>
  <c r="F1047" i="5"/>
  <c r="E1047" i="5"/>
  <c r="X1047" i="5" s="1"/>
  <c r="R1047" i="5"/>
  <c r="J1047" i="5"/>
  <c r="I1047" i="5"/>
  <c r="H1047" i="5"/>
  <c r="T1051" i="5"/>
  <c r="S1051" i="5"/>
  <c r="AB1051" i="5"/>
  <c r="V1056" i="5"/>
  <c r="G1056" i="5" s="1"/>
  <c r="S1094" i="5"/>
  <c r="AB1094" i="5"/>
  <c r="T1094" i="5"/>
  <c r="R1145" i="5"/>
  <c r="J1145" i="5"/>
  <c r="H1145" i="5"/>
  <c r="F1145" i="5"/>
  <c r="E1145" i="5"/>
  <c r="X1145" i="5" s="1"/>
  <c r="I1145" i="5"/>
  <c r="AB928" i="5"/>
  <c r="T928" i="5"/>
  <c r="AB936" i="5"/>
  <c r="T936" i="5"/>
  <c r="AB944" i="5"/>
  <c r="T944" i="5"/>
  <c r="AB952" i="5"/>
  <c r="T952" i="5"/>
  <c r="V963" i="5"/>
  <c r="G963" i="5" s="1"/>
  <c r="G964" i="5"/>
  <c r="V1021" i="5"/>
  <c r="G1021" i="5" s="1"/>
  <c r="E1030" i="5"/>
  <c r="X1030" i="5" s="1"/>
  <c r="R1030" i="5"/>
  <c r="J1030" i="5"/>
  <c r="I1030" i="5"/>
  <c r="H1030" i="5"/>
  <c r="G1030" i="5"/>
  <c r="F1030" i="5"/>
  <c r="I1070" i="5"/>
  <c r="R1070" i="5"/>
  <c r="J1070" i="5"/>
  <c r="H1070" i="5"/>
  <c r="G1070" i="5"/>
  <c r="F1070" i="5"/>
  <c r="E1070" i="5"/>
  <c r="X1070" i="5" s="1"/>
  <c r="V1155" i="5"/>
  <c r="G1155" i="5" s="1"/>
  <c r="J994" i="5"/>
  <c r="F1002" i="5"/>
  <c r="T1003" i="5"/>
  <c r="S1003" i="5"/>
  <c r="AB1003" i="5"/>
  <c r="R1005" i="5"/>
  <c r="J1005" i="5"/>
  <c r="I1005" i="5"/>
  <c r="H1005" i="5"/>
  <c r="J1007" i="5"/>
  <c r="G1018" i="5"/>
  <c r="G1019" i="5"/>
  <c r="F1019" i="5"/>
  <c r="E1019" i="5"/>
  <c r="X1019" i="5" s="1"/>
  <c r="F1022" i="5"/>
  <c r="T1023" i="5"/>
  <c r="S1023" i="5"/>
  <c r="V1024" i="5"/>
  <c r="G1024" i="5" s="1"/>
  <c r="J1039" i="5"/>
  <c r="G1051" i="5"/>
  <c r="F1051" i="5"/>
  <c r="E1051" i="5"/>
  <c r="X1051" i="5" s="1"/>
  <c r="AB1055" i="5"/>
  <c r="T1055" i="5"/>
  <c r="S1055" i="5"/>
  <c r="G1068" i="5"/>
  <c r="V1075" i="5"/>
  <c r="G1075" i="5" s="1"/>
  <c r="I1078" i="5"/>
  <c r="R1078" i="5"/>
  <c r="J1078" i="5"/>
  <c r="H1078" i="5"/>
  <c r="G1078" i="5"/>
  <c r="F1078" i="5"/>
  <c r="AB1115" i="5"/>
  <c r="V1115" i="5"/>
  <c r="G1115" i="5" s="1"/>
  <c r="R1121" i="5"/>
  <c r="J1121" i="5"/>
  <c r="I1121" i="5"/>
  <c r="H1121" i="5"/>
  <c r="F1121" i="5"/>
  <c r="E1121" i="5"/>
  <c r="X1121" i="5" s="1"/>
  <c r="J1144" i="5"/>
  <c r="I1144" i="5"/>
  <c r="H1144" i="5"/>
  <c r="E1144" i="5"/>
  <c r="X1144" i="5" s="1"/>
  <c r="E1148" i="5"/>
  <c r="X1148" i="5" s="1"/>
  <c r="G1148" i="5"/>
  <c r="F1148" i="5"/>
  <c r="J1148" i="5"/>
  <c r="R1148" i="5"/>
  <c r="I1148" i="5"/>
  <c r="H1148" i="5"/>
  <c r="I1193" i="5"/>
  <c r="H1193" i="5"/>
  <c r="R1193" i="5"/>
  <c r="E1193" i="5"/>
  <c r="X1193" i="5" s="1"/>
  <c r="J1193" i="5"/>
  <c r="F1193" i="5"/>
  <c r="J1248" i="5"/>
  <c r="R1248" i="5"/>
  <c r="I1248" i="5"/>
  <c r="H1248" i="5"/>
  <c r="F1248" i="5"/>
  <c r="G1248" i="5"/>
  <c r="E1248" i="5"/>
  <c r="X1248" i="5" s="1"/>
  <c r="R994" i="5"/>
  <c r="E995" i="5"/>
  <c r="X995" i="5" s="1"/>
  <c r="G1002" i="5"/>
  <c r="F1003" i="5"/>
  <c r="E1003" i="5"/>
  <c r="X1003" i="5" s="1"/>
  <c r="E1006" i="5"/>
  <c r="X1006" i="5" s="1"/>
  <c r="R1006" i="5"/>
  <c r="J1006" i="5"/>
  <c r="R1009" i="5"/>
  <c r="J1009" i="5"/>
  <c r="I1009" i="5"/>
  <c r="H1009" i="5"/>
  <c r="S1012" i="5"/>
  <c r="H1018" i="5"/>
  <c r="H1019" i="5"/>
  <c r="G1022" i="5"/>
  <c r="G1023" i="5"/>
  <c r="F1023" i="5"/>
  <c r="E1023" i="5"/>
  <c r="X1023" i="5" s="1"/>
  <c r="T1027" i="5"/>
  <c r="S1027" i="5"/>
  <c r="V1028" i="5"/>
  <c r="G1028" i="5" s="1"/>
  <c r="S1044" i="5"/>
  <c r="H1051" i="5"/>
  <c r="H1055" i="5"/>
  <c r="G1055" i="5"/>
  <c r="F1055" i="5"/>
  <c r="E1055" i="5"/>
  <c r="X1055" i="5" s="1"/>
  <c r="S1056" i="5"/>
  <c r="E1068" i="5"/>
  <c r="X1068" i="5" s="1"/>
  <c r="G1073" i="5"/>
  <c r="V1083" i="5"/>
  <c r="G1083" i="5" s="1"/>
  <c r="I1086" i="5"/>
  <c r="R1086" i="5"/>
  <c r="J1086" i="5"/>
  <c r="H1086" i="5"/>
  <c r="G1086" i="5"/>
  <c r="F1086" i="5"/>
  <c r="V1112" i="5"/>
  <c r="G1112" i="5" s="1"/>
  <c r="R1151" i="5"/>
  <c r="I1151" i="5"/>
  <c r="H1151" i="5"/>
  <c r="F1151" i="5"/>
  <c r="J1151" i="5"/>
  <c r="E1151" i="5"/>
  <c r="X1151" i="5" s="1"/>
  <c r="T1176" i="5"/>
  <c r="S1176" i="5"/>
  <c r="AB1176" i="5"/>
  <c r="S958" i="5"/>
  <c r="S962" i="5"/>
  <c r="S966" i="5"/>
  <c r="V967" i="5"/>
  <c r="G967" i="5" s="1"/>
  <c r="S970" i="5"/>
  <c r="V971" i="5"/>
  <c r="G971" i="5" s="1"/>
  <c r="S974" i="5"/>
  <c r="V975" i="5"/>
  <c r="G975" i="5" s="1"/>
  <c r="S978" i="5"/>
  <c r="V979" i="5"/>
  <c r="G979" i="5" s="1"/>
  <c r="S982" i="5"/>
  <c r="V983" i="5"/>
  <c r="G983" i="5" s="1"/>
  <c r="S986" i="5"/>
  <c r="V987" i="5"/>
  <c r="G987" i="5" s="1"/>
  <c r="S990" i="5"/>
  <c r="V991" i="5"/>
  <c r="G991" i="5" s="1"/>
  <c r="S994" i="5"/>
  <c r="G995" i="5"/>
  <c r="T999" i="5"/>
  <c r="S999" i="5"/>
  <c r="AB999" i="5"/>
  <c r="H1002" i="5"/>
  <c r="G1003" i="5"/>
  <c r="V1004" i="5"/>
  <c r="AB1009" i="5"/>
  <c r="V1013" i="5"/>
  <c r="S1016" i="5"/>
  <c r="I1019" i="5"/>
  <c r="H1022" i="5"/>
  <c r="H1023" i="5"/>
  <c r="G1027" i="5"/>
  <c r="F1027" i="5"/>
  <c r="E1027" i="5"/>
  <c r="X1027" i="5" s="1"/>
  <c r="T1031" i="5"/>
  <c r="S1031" i="5"/>
  <c r="V1032" i="5"/>
  <c r="G1032" i="5" s="1"/>
  <c r="AB1036" i="5"/>
  <c r="AB1041" i="5"/>
  <c r="V1045" i="5"/>
  <c r="S1048" i="5"/>
  <c r="I1051" i="5"/>
  <c r="I1055" i="5"/>
  <c r="V1064" i="5"/>
  <c r="G1064" i="5" s="1"/>
  <c r="AB1067" i="5"/>
  <c r="T1067" i="5"/>
  <c r="S1067" i="5"/>
  <c r="S1073" i="5"/>
  <c r="G1081" i="5"/>
  <c r="V1091" i="5"/>
  <c r="G1091" i="5" s="1"/>
  <c r="I1094" i="5"/>
  <c r="R1094" i="5"/>
  <c r="J1094" i="5"/>
  <c r="H1094" i="5"/>
  <c r="G1094" i="5"/>
  <c r="F1094" i="5"/>
  <c r="AB1104" i="5"/>
  <c r="T1104" i="5"/>
  <c r="S1104" i="5"/>
  <c r="R1105" i="5"/>
  <c r="J1105" i="5"/>
  <c r="I1105" i="5"/>
  <c r="H1105" i="5"/>
  <c r="F1105" i="5"/>
  <c r="E1105" i="5"/>
  <c r="X1105" i="5" s="1"/>
  <c r="R1125" i="5"/>
  <c r="J1125" i="5"/>
  <c r="I1125" i="5"/>
  <c r="H1125" i="5"/>
  <c r="F1125" i="5"/>
  <c r="E1125" i="5"/>
  <c r="X1125" i="5" s="1"/>
  <c r="R1144" i="5"/>
  <c r="E1188" i="5"/>
  <c r="X1188" i="5" s="1"/>
  <c r="R1188" i="5"/>
  <c r="J1188" i="5"/>
  <c r="I1188" i="5"/>
  <c r="H1188" i="5"/>
  <c r="F1188" i="5"/>
  <c r="J1235" i="5"/>
  <c r="H1235" i="5"/>
  <c r="R1235" i="5"/>
  <c r="I1235" i="5"/>
  <c r="E1235" i="5"/>
  <c r="X1235" i="5" s="1"/>
  <c r="F1235" i="5"/>
  <c r="H995" i="5"/>
  <c r="AB996" i="5"/>
  <c r="S996" i="5"/>
  <c r="S997" i="5"/>
  <c r="F999" i="5"/>
  <c r="E999" i="5"/>
  <c r="X999" i="5" s="1"/>
  <c r="AB1000" i="5"/>
  <c r="AB1001" i="5"/>
  <c r="V1001" i="5"/>
  <c r="H1003" i="5"/>
  <c r="E1005" i="5"/>
  <c r="X1005" i="5" s="1"/>
  <c r="AB1008" i="5"/>
  <c r="AB1013" i="5"/>
  <c r="E1014" i="5"/>
  <c r="X1014" i="5" s="1"/>
  <c r="R1014" i="5"/>
  <c r="J1014" i="5"/>
  <c r="V1017" i="5"/>
  <c r="G1017" i="5" s="1"/>
  <c r="J1019" i="5"/>
  <c r="I1023" i="5"/>
  <c r="T1035" i="5"/>
  <c r="S1035" i="5"/>
  <c r="V1036" i="5"/>
  <c r="G1036" i="5" s="1"/>
  <c r="AB1040" i="5"/>
  <c r="AB1045" i="5"/>
  <c r="E1046" i="5"/>
  <c r="X1046" i="5" s="1"/>
  <c r="R1046" i="5"/>
  <c r="J1046" i="5"/>
  <c r="V1049" i="5"/>
  <c r="G1049" i="5" s="1"/>
  <c r="J1051" i="5"/>
  <c r="J1055" i="5"/>
  <c r="AB1060" i="5"/>
  <c r="H1067" i="5"/>
  <c r="G1067" i="5"/>
  <c r="F1067" i="5"/>
  <c r="E1067" i="5"/>
  <c r="X1067" i="5" s="1"/>
  <c r="S1070" i="5"/>
  <c r="AB1070" i="5"/>
  <c r="T1073" i="5"/>
  <c r="S1081" i="5"/>
  <c r="G1089" i="5"/>
  <c r="AB1097" i="5"/>
  <c r="V1099" i="5"/>
  <c r="G1099" i="5" s="1"/>
  <c r="G1104" i="5"/>
  <c r="AB1119" i="5"/>
  <c r="V1119" i="5"/>
  <c r="G1119" i="5" s="1"/>
  <c r="AB1158" i="5"/>
  <c r="V1158" i="5"/>
  <c r="S1189" i="5"/>
  <c r="T1189" i="5"/>
  <c r="AB1189" i="5"/>
  <c r="V996" i="5"/>
  <c r="V1000" i="5"/>
  <c r="T1007" i="5"/>
  <c r="S1007" i="5"/>
  <c r="V1008" i="5"/>
  <c r="AB1012" i="5"/>
  <c r="AB1017" i="5"/>
  <c r="E1018" i="5"/>
  <c r="X1018" i="5" s="1"/>
  <c r="R1018" i="5"/>
  <c r="J1018" i="5"/>
  <c r="G1035" i="5"/>
  <c r="F1035" i="5"/>
  <c r="E1035" i="5"/>
  <c r="X1035" i="5" s="1"/>
  <c r="T1039" i="5"/>
  <c r="S1039" i="5"/>
  <c r="V1040" i="5"/>
  <c r="G1040" i="5" s="1"/>
  <c r="AB1044" i="5"/>
  <c r="AB1049" i="5"/>
  <c r="V1060" i="5"/>
  <c r="G1060" i="5" s="1"/>
  <c r="AB1063" i="5"/>
  <c r="T1063" i="5"/>
  <c r="S1063" i="5"/>
  <c r="J1068" i="5"/>
  <c r="I1068" i="5"/>
  <c r="H1068" i="5"/>
  <c r="F1068" i="5"/>
  <c r="H1072" i="5"/>
  <c r="E1072" i="5"/>
  <c r="X1072" i="5" s="1"/>
  <c r="R1072" i="5"/>
  <c r="J1072" i="5"/>
  <c r="I1072" i="5"/>
  <c r="J1073" i="5"/>
  <c r="R1073" i="5"/>
  <c r="I1073" i="5"/>
  <c r="H1073" i="5"/>
  <c r="F1073" i="5"/>
  <c r="E1073" i="5"/>
  <c r="X1073" i="5" s="1"/>
  <c r="S1078" i="5"/>
  <c r="AB1078" i="5"/>
  <c r="G1097" i="5"/>
  <c r="I1104" i="5"/>
  <c r="H1104" i="5"/>
  <c r="E1104" i="5"/>
  <c r="X1104" i="5" s="1"/>
  <c r="R1104" i="5"/>
  <c r="J1104" i="5"/>
  <c r="F1104" i="5"/>
  <c r="J1120" i="5"/>
  <c r="I1120" i="5"/>
  <c r="H1120" i="5"/>
  <c r="E1120" i="5"/>
  <c r="X1120" i="5" s="1"/>
  <c r="F1120" i="5"/>
  <c r="AB1132" i="5"/>
  <c r="T1132" i="5"/>
  <c r="S1132" i="5"/>
  <c r="AB1136" i="5"/>
  <c r="T1136" i="5"/>
  <c r="S1136" i="5"/>
  <c r="AB1143" i="5"/>
  <c r="V1143" i="5"/>
  <c r="G1143" i="5" s="1"/>
  <c r="AB1147" i="5"/>
  <c r="V1147" i="5"/>
  <c r="G1147" i="5" s="1"/>
  <c r="AB1181" i="5"/>
  <c r="AB997" i="5"/>
  <c r="R1002" i="5"/>
  <c r="J1002" i="5"/>
  <c r="G1007" i="5"/>
  <c r="F1007" i="5"/>
  <c r="E1007" i="5"/>
  <c r="X1007" i="5" s="1"/>
  <c r="T1011" i="5"/>
  <c r="S1011" i="5"/>
  <c r="V1012" i="5"/>
  <c r="G1012" i="5" s="1"/>
  <c r="AB1016" i="5"/>
  <c r="AB1021" i="5"/>
  <c r="E1022" i="5"/>
  <c r="X1022" i="5" s="1"/>
  <c r="R1022" i="5"/>
  <c r="J1022" i="5"/>
  <c r="G1039" i="5"/>
  <c r="F1039" i="5"/>
  <c r="E1039" i="5"/>
  <c r="X1039" i="5" s="1"/>
  <c r="T1043" i="5"/>
  <c r="S1043" i="5"/>
  <c r="V1044" i="5"/>
  <c r="AB1048" i="5"/>
  <c r="AB1053" i="5"/>
  <c r="AB1056" i="5"/>
  <c r="H1063" i="5"/>
  <c r="G1063" i="5"/>
  <c r="F1063" i="5"/>
  <c r="E1063" i="5"/>
  <c r="X1063" i="5" s="1"/>
  <c r="H1080" i="5"/>
  <c r="E1080" i="5"/>
  <c r="X1080" i="5" s="1"/>
  <c r="R1080" i="5"/>
  <c r="J1080" i="5"/>
  <c r="I1080" i="5"/>
  <c r="J1081" i="5"/>
  <c r="R1081" i="5"/>
  <c r="I1081" i="5"/>
  <c r="H1081" i="5"/>
  <c r="F1081" i="5"/>
  <c r="E1081" i="5"/>
  <c r="X1081" i="5" s="1"/>
  <c r="S1086" i="5"/>
  <c r="AB1086" i="5"/>
  <c r="I1100" i="5"/>
  <c r="H1100" i="5"/>
  <c r="E1100" i="5"/>
  <c r="X1100" i="5" s="1"/>
  <c r="J1100" i="5"/>
  <c r="G1100" i="5"/>
  <c r="F1100" i="5"/>
  <c r="V1103" i="5"/>
  <c r="G1103" i="5" s="1"/>
  <c r="AB1111" i="5"/>
  <c r="V1111" i="5"/>
  <c r="G1111" i="5" s="1"/>
  <c r="J1116" i="5"/>
  <c r="I1116" i="5"/>
  <c r="H1116" i="5"/>
  <c r="E1116" i="5"/>
  <c r="X1116" i="5" s="1"/>
  <c r="R1117" i="5"/>
  <c r="J1117" i="5"/>
  <c r="I1117" i="5"/>
  <c r="F1117" i="5"/>
  <c r="E1117" i="5"/>
  <c r="X1117" i="5" s="1"/>
  <c r="V1136" i="5"/>
  <c r="AB1153" i="5"/>
  <c r="T1153" i="5"/>
  <c r="S1153" i="5"/>
  <c r="R1162" i="5"/>
  <c r="J1162" i="5"/>
  <c r="I1162" i="5"/>
  <c r="H1162" i="5"/>
  <c r="E1162" i="5"/>
  <c r="X1162" i="5" s="1"/>
  <c r="F1162" i="5"/>
  <c r="V1181" i="5"/>
  <c r="G1181" i="5" s="1"/>
  <c r="J1054" i="5"/>
  <c r="J1062" i="5"/>
  <c r="AB1076" i="5"/>
  <c r="T1076" i="5"/>
  <c r="AB1084" i="5"/>
  <c r="T1084" i="5"/>
  <c r="H1084" i="5"/>
  <c r="E1084" i="5"/>
  <c r="X1084" i="5" s="1"/>
  <c r="AB1092" i="5"/>
  <c r="T1092" i="5"/>
  <c r="AB1100" i="5"/>
  <c r="T1100" i="5"/>
  <c r="G1105" i="5"/>
  <c r="AB1105" i="5"/>
  <c r="V1108" i="5"/>
  <c r="AB1128" i="5"/>
  <c r="T1128" i="5"/>
  <c r="E1129" i="5"/>
  <c r="X1129" i="5" s="1"/>
  <c r="G1132" i="5"/>
  <c r="F1133" i="5"/>
  <c r="AB1139" i="5"/>
  <c r="V1139" i="5"/>
  <c r="G1157" i="5"/>
  <c r="G1163" i="5"/>
  <c r="T1180" i="5"/>
  <c r="AB1180" i="5"/>
  <c r="S1180" i="5"/>
  <c r="V1224" i="5"/>
  <c r="G1224" i="5" s="1"/>
  <c r="J1231" i="5"/>
  <c r="R1231" i="5"/>
  <c r="I1231" i="5"/>
  <c r="H1231" i="5"/>
  <c r="F1231" i="5"/>
  <c r="E1231" i="5"/>
  <c r="X1231" i="5" s="1"/>
  <c r="R1054" i="5"/>
  <c r="R1062" i="5"/>
  <c r="S1069" i="5"/>
  <c r="T1074" i="5"/>
  <c r="S1077" i="5"/>
  <c r="T1082" i="5"/>
  <c r="S1085" i="5"/>
  <c r="T1090" i="5"/>
  <c r="S1093" i="5"/>
  <c r="T1098" i="5"/>
  <c r="T1106" i="5"/>
  <c r="S1106" i="5"/>
  <c r="R1113" i="5"/>
  <c r="J1113" i="5"/>
  <c r="I1113" i="5"/>
  <c r="AB1124" i="5"/>
  <c r="T1124" i="5"/>
  <c r="G1128" i="5"/>
  <c r="F1129" i="5"/>
  <c r="F1132" i="5"/>
  <c r="AB1135" i="5"/>
  <c r="V1135" i="5"/>
  <c r="G1135" i="5" s="1"/>
  <c r="R1141" i="5"/>
  <c r="J1141" i="5"/>
  <c r="I1141" i="5"/>
  <c r="E1157" i="5"/>
  <c r="X1157" i="5" s="1"/>
  <c r="I1163" i="5"/>
  <c r="V1167" i="5"/>
  <c r="G1167" i="5" s="1"/>
  <c r="E1168" i="5"/>
  <c r="X1168" i="5" s="1"/>
  <c r="F1168" i="5"/>
  <c r="R1168" i="5"/>
  <c r="J1168" i="5"/>
  <c r="I1168" i="5"/>
  <c r="E1184" i="5"/>
  <c r="X1184" i="5" s="1"/>
  <c r="J1184" i="5"/>
  <c r="F1184" i="5"/>
  <c r="I1184" i="5"/>
  <c r="H1184" i="5"/>
  <c r="I1189" i="5"/>
  <c r="H1189" i="5"/>
  <c r="R1189" i="5"/>
  <c r="J1189" i="5"/>
  <c r="F1189" i="5"/>
  <c r="E1189" i="5"/>
  <c r="X1189" i="5" s="1"/>
  <c r="E1199" i="5"/>
  <c r="X1199" i="5" s="1"/>
  <c r="R1199" i="5"/>
  <c r="F1199" i="5"/>
  <c r="J1199" i="5"/>
  <c r="I1199" i="5"/>
  <c r="H1199" i="5"/>
  <c r="G1199" i="5"/>
  <c r="R1226" i="5"/>
  <c r="J1226" i="5"/>
  <c r="I1226" i="5"/>
  <c r="G1226" i="5"/>
  <c r="H1226" i="5"/>
  <c r="F1226" i="5"/>
  <c r="E1226" i="5"/>
  <c r="X1226" i="5" s="1"/>
  <c r="F1071" i="5"/>
  <c r="R1071" i="5"/>
  <c r="X1071" i="5"/>
  <c r="F1079" i="5"/>
  <c r="R1079" i="5"/>
  <c r="X1079" i="5"/>
  <c r="F1084" i="5"/>
  <c r="F1087" i="5"/>
  <c r="R1087" i="5"/>
  <c r="X1087" i="5"/>
  <c r="F1095" i="5"/>
  <c r="R1095" i="5"/>
  <c r="G1101" i="5"/>
  <c r="AB1101" i="5"/>
  <c r="AB1108" i="5"/>
  <c r="T1108" i="5"/>
  <c r="AB1120" i="5"/>
  <c r="T1120" i="5"/>
  <c r="G1124" i="5"/>
  <c r="AB1131" i="5"/>
  <c r="V1131" i="5"/>
  <c r="G1131" i="5" s="1"/>
  <c r="R1137" i="5"/>
  <c r="J1137" i="5"/>
  <c r="I1137" i="5"/>
  <c r="AB1146" i="5"/>
  <c r="V1146" i="5"/>
  <c r="G1146" i="5" s="1"/>
  <c r="AB1162" i="5"/>
  <c r="G1162" i="5"/>
  <c r="G1165" i="5"/>
  <c r="E1172" i="5"/>
  <c r="X1172" i="5" s="1"/>
  <c r="R1172" i="5"/>
  <c r="J1172" i="5"/>
  <c r="I1172" i="5"/>
  <c r="H1172" i="5"/>
  <c r="V1175" i="5"/>
  <c r="G1175" i="5" s="1"/>
  <c r="E1176" i="5"/>
  <c r="X1176" i="5" s="1"/>
  <c r="F1176" i="5"/>
  <c r="R1176" i="5"/>
  <c r="J1176" i="5"/>
  <c r="I1176" i="5"/>
  <c r="R1184" i="5"/>
  <c r="V1069" i="5"/>
  <c r="G1069" i="5" s="1"/>
  <c r="V1077" i="5"/>
  <c r="G1077" i="5" s="1"/>
  <c r="V1085" i="5"/>
  <c r="G1085" i="5" s="1"/>
  <c r="V1093" i="5"/>
  <c r="G1093" i="5" s="1"/>
  <c r="T1102" i="5"/>
  <c r="S1102" i="5"/>
  <c r="X1113" i="5"/>
  <c r="AB1116" i="5"/>
  <c r="T1116" i="5"/>
  <c r="G1120" i="5"/>
  <c r="AB1127" i="5"/>
  <c r="V1127" i="5"/>
  <c r="R1133" i="5"/>
  <c r="J1133" i="5"/>
  <c r="I1133" i="5"/>
  <c r="E1163" i="5"/>
  <c r="X1163" i="5" s="1"/>
  <c r="R1163" i="5"/>
  <c r="H1163" i="5"/>
  <c r="F1163" i="5"/>
  <c r="AB1221" i="5"/>
  <c r="T1221" i="5"/>
  <c r="S1221" i="5"/>
  <c r="F1245" i="5"/>
  <c r="R1245" i="5"/>
  <c r="J1245" i="5"/>
  <c r="I1245" i="5"/>
  <c r="G1245" i="5"/>
  <c r="H1245" i="5"/>
  <c r="E1245" i="5"/>
  <c r="X1245" i="5" s="1"/>
  <c r="AB1261" i="5"/>
  <c r="T1261" i="5"/>
  <c r="S1261" i="5"/>
  <c r="AB1072" i="5"/>
  <c r="T1072" i="5"/>
  <c r="AB1080" i="5"/>
  <c r="T1080" i="5"/>
  <c r="AB1088" i="5"/>
  <c r="T1088" i="5"/>
  <c r="AB1096" i="5"/>
  <c r="T1096" i="5"/>
  <c r="AB1107" i="5"/>
  <c r="V1107" i="5"/>
  <c r="G1107" i="5" s="1"/>
  <c r="T1110" i="5"/>
  <c r="S1110" i="5"/>
  <c r="AB1112" i="5"/>
  <c r="T1112" i="5"/>
  <c r="G1116" i="5"/>
  <c r="AB1123" i="5"/>
  <c r="V1123" i="5"/>
  <c r="G1123" i="5" s="1"/>
  <c r="R1129" i="5"/>
  <c r="J1129" i="5"/>
  <c r="I1129" i="5"/>
  <c r="J1132" i="5"/>
  <c r="I1132" i="5"/>
  <c r="H1132" i="5"/>
  <c r="E1132" i="5"/>
  <c r="X1132" i="5" s="1"/>
  <c r="AB1144" i="5"/>
  <c r="T1144" i="5"/>
  <c r="V1149" i="5"/>
  <c r="G1149" i="5" s="1"/>
  <c r="I1157" i="5"/>
  <c r="F1157" i="5"/>
  <c r="R1157" i="5"/>
  <c r="J1157" i="5"/>
  <c r="V1169" i="5"/>
  <c r="T1188" i="5"/>
  <c r="AB1188" i="5"/>
  <c r="S1188" i="5"/>
  <c r="R1218" i="5"/>
  <c r="J1218" i="5"/>
  <c r="I1218" i="5"/>
  <c r="G1218" i="5"/>
  <c r="F1218" i="5"/>
  <c r="H1218" i="5"/>
  <c r="E1218" i="5"/>
  <c r="X1218" i="5" s="1"/>
  <c r="J1225" i="5"/>
  <c r="I1225" i="5"/>
  <c r="H1225" i="5"/>
  <c r="E1225" i="5"/>
  <c r="X1225" i="5" s="1"/>
  <c r="R1225" i="5"/>
  <c r="F1225" i="5"/>
  <c r="V1261" i="5"/>
  <c r="G1261" i="5" s="1"/>
  <c r="AB1140" i="5"/>
  <c r="T1140" i="5"/>
  <c r="G1144" i="5"/>
  <c r="R1154" i="5"/>
  <c r="E1154" i="5"/>
  <c r="X1154" i="5" s="1"/>
  <c r="J1154" i="5"/>
  <c r="H1154" i="5"/>
  <c r="I1165" i="5"/>
  <c r="R1165" i="5"/>
  <c r="J1165" i="5"/>
  <c r="H1165" i="5"/>
  <c r="E1165" i="5"/>
  <c r="X1165" i="5" s="1"/>
  <c r="V1173" i="5"/>
  <c r="G1173" i="5" s="1"/>
  <c r="V1177" i="5"/>
  <c r="G1177" i="5" s="1"/>
  <c r="S1181" i="5"/>
  <c r="T1181" i="5"/>
  <c r="I1197" i="5"/>
  <c r="H1197" i="5"/>
  <c r="F1197" i="5"/>
  <c r="R1197" i="5"/>
  <c r="J1197" i="5"/>
  <c r="E1197" i="5"/>
  <c r="X1197" i="5" s="1"/>
  <c r="I1106" i="5"/>
  <c r="G1113" i="5"/>
  <c r="G1117" i="5"/>
  <c r="G1121" i="5"/>
  <c r="G1125" i="5"/>
  <c r="G1129" i="5"/>
  <c r="G1133" i="5"/>
  <c r="G1137" i="5"/>
  <c r="G1141" i="5"/>
  <c r="J1150" i="5"/>
  <c r="V1153" i="5"/>
  <c r="T1155" i="5"/>
  <c r="AB1155" i="5"/>
  <c r="H1159" i="5"/>
  <c r="V1160" i="5"/>
  <c r="G1168" i="5"/>
  <c r="G1171" i="5"/>
  <c r="G1172" i="5"/>
  <c r="G1176" i="5"/>
  <c r="F1180" i="5"/>
  <c r="R1182" i="5"/>
  <c r="I1182" i="5"/>
  <c r="G1182" i="5"/>
  <c r="G1189" i="5"/>
  <c r="AB1192" i="5"/>
  <c r="AB1197" i="5"/>
  <c r="S1197" i="5"/>
  <c r="G1201" i="5"/>
  <c r="AB1205" i="5"/>
  <c r="AB1209" i="5"/>
  <c r="T1209" i="5"/>
  <c r="J1217" i="5"/>
  <c r="I1217" i="5"/>
  <c r="H1217" i="5"/>
  <c r="E1217" i="5"/>
  <c r="X1217" i="5" s="1"/>
  <c r="V1221" i="5"/>
  <c r="I1185" i="5"/>
  <c r="F1185" i="5"/>
  <c r="R1190" i="5"/>
  <c r="I1190" i="5"/>
  <c r="G1190" i="5"/>
  <c r="G1197" i="5"/>
  <c r="T1200" i="5"/>
  <c r="AB1200" i="5"/>
  <c r="V1205" i="5"/>
  <c r="AB1243" i="5"/>
  <c r="S1243" i="5"/>
  <c r="S1148" i="5"/>
  <c r="S1150" i="5"/>
  <c r="T1156" i="5"/>
  <c r="S1161" i="5"/>
  <c r="E1183" i="5"/>
  <c r="X1183" i="5" s="1"/>
  <c r="R1183" i="5"/>
  <c r="I1183" i="5"/>
  <c r="E1190" i="5"/>
  <c r="X1190" i="5" s="1"/>
  <c r="G1193" i="5"/>
  <c r="T1196" i="5"/>
  <c r="S1196" i="5"/>
  <c r="V1200" i="5"/>
  <c r="G1200" i="5" s="1"/>
  <c r="AB1225" i="5"/>
  <c r="T1225" i="5"/>
  <c r="F1237" i="5"/>
  <c r="R1237" i="5"/>
  <c r="J1237" i="5"/>
  <c r="I1237" i="5"/>
  <c r="G1237" i="5"/>
  <c r="H1237" i="5"/>
  <c r="E1237" i="5"/>
  <c r="X1237" i="5" s="1"/>
  <c r="J1251" i="5"/>
  <c r="H1251" i="5"/>
  <c r="R1251" i="5"/>
  <c r="I1251" i="5"/>
  <c r="E1251" i="5"/>
  <c r="X1251" i="5" s="1"/>
  <c r="F1251" i="5"/>
  <c r="AB1288" i="5"/>
  <c r="T1288" i="5"/>
  <c r="S1288" i="5"/>
  <c r="AB1301" i="5"/>
  <c r="V1301" i="5"/>
  <c r="S1114" i="5"/>
  <c r="S1118" i="5"/>
  <c r="S1122" i="5"/>
  <c r="S1126" i="5"/>
  <c r="S1130" i="5"/>
  <c r="S1134" i="5"/>
  <c r="S1138" i="5"/>
  <c r="S1142" i="5"/>
  <c r="G1151" i="5"/>
  <c r="V1156" i="5"/>
  <c r="G1156" i="5" s="1"/>
  <c r="R1159" i="5"/>
  <c r="S1164" i="5"/>
  <c r="R1174" i="5"/>
  <c r="I1174" i="5"/>
  <c r="F1183" i="5"/>
  <c r="G1184" i="5"/>
  <c r="G1185" i="5"/>
  <c r="R1186" i="5"/>
  <c r="I1186" i="5"/>
  <c r="H1186" i="5"/>
  <c r="F1190" i="5"/>
  <c r="E1191" i="5"/>
  <c r="X1191" i="5" s="1"/>
  <c r="R1191" i="5"/>
  <c r="I1191" i="5"/>
  <c r="V1196" i="5"/>
  <c r="G1196" i="5" s="1"/>
  <c r="AB1208" i="5"/>
  <c r="T1208" i="5"/>
  <c r="R1214" i="5"/>
  <c r="J1214" i="5"/>
  <c r="I1214" i="5"/>
  <c r="G1214" i="5"/>
  <c r="E1214" i="5"/>
  <c r="X1214" i="5" s="1"/>
  <c r="G1225" i="5"/>
  <c r="S1265" i="5"/>
  <c r="T1265" i="5"/>
  <c r="S1145" i="5"/>
  <c r="S1152" i="5"/>
  <c r="S1159" i="5"/>
  <c r="T1164" i="5"/>
  <c r="E1174" i="5"/>
  <c r="X1174" i="5" s="1"/>
  <c r="E1179" i="5"/>
  <c r="X1179" i="5" s="1"/>
  <c r="R1179" i="5"/>
  <c r="H1179" i="5"/>
  <c r="G1183" i="5"/>
  <c r="E1185" i="5"/>
  <c r="X1185" i="5" s="1"/>
  <c r="H1190" i="5"/>
  <c r="F1191" i="5"/>
  <c r="V1192" i="5"/>
  <c r="V1204" i="5"/>
  <c r="V1212" i="5"/>
  <c r="V1213" i="5"/>
  <c r="G1213" i="5" s="1"/>
  <c r="AB1217" i="5"/>
  <c r="T1217" i="5"/>
  <c r="S1217" i="5"/>
  <c r="AB1220" i="5"/>
  <c r="T1243" i="5"/>
  <c r="AB1260" i="5"/>
  <c r="S1260" i="5"/>
  <c r="T1260" i="5"/>
  <c r="G1145" i="5"/>
  <c r="AB1148" i="5"/>
  <c r="F1150" i="5"/>
  <c r="V1152" i="5"/>
  <c r="AB1161" i="5"/>
  <c r="V1164" i="5"/>
  <c r="G1164" i="5" s="1"/>
  <c r="E1171" i="5"/>
  <c r="X1171" i="5" s="1"/>
  <c r="R1171" i="5"/>
  <c r="E1180" i="5"/>
  <c r="X1180" i="5" s="1"/>
  <c r="R1180" i="5"/>
  <c r="H1183" i="5"/>
  <c r="H1185" i="5"/>
  <c r="J1190" i="5"/>
  <c r="S1193" i="5"/>
  <c r="R1198" i="5"/>
  <c r="J1198" i="5"/>
  <c r="I1198" i="5"/>
  <c r="H1198" i="5"/>
  <c r="E1198" i="5"/>
  <c r="X1198" i="5" s="1"/>
  <c r="I1201" i="5"/>
  <c r="H1201" i="5"/>
  <c r="J1201" i="5"/>
  <c r="R1206" i="5"/>
  <c r="J1206" i="5"/>
  <c r="I1206" i="5"/>
  <c r="E1206" i="5"/>
  <c r="X1206" i="5" s="1"/>
  <c r="V1209" i="5"/>
  <c r="G1209" i="5" s="1"/>
  <c r="R1210" i="5"/>
  <c r="J1210" i="5"/>
  <c r="I1210" i="5"/>
  <c r="F1210" i="5"/>
  <c r="V1220" i="5"/>
  <c r="S1225" i="5"/>
  <c r="G1231" i="5"/>
  <c r="F1253" i="5"/>
  <c r="R1253" i="5"/>
  <c r="J1253" i="5"/>
  <c r="I1253" i="5"/>
  <c r="G1253" i="5"/>
  <c r="H1253" i="5"/>
  <c r="E1253" i="5"/>
  <c r="X1253" i="5" s="1"/>
  <c r="V1208" i="5"/>
  <c r="AB1213" i="5"/>
  <c r="T1213" i="5"/>
  <c r="G1217" i="5"/>
  <c r="AB1224" i="5"/>
  <c r="AB1230" i="5"/>
  <c r="T1230" i="5"/>
  <c r="S1236" i="5"/>
  <c r="AB1236" i="5"/>
  <c r="V1238" i="5"/>
  <c r="G1238" i="5" s="1"/>
  <c r="S1241" i="5"/>
  <c r="AB1241" i="5"/>
  <c r="G1243" i="5"/>
  <c r="S1252" i="5"/>
  <c r="AB1252" i="5"/>
  <c r="V1254" i="5"/>
  <c r="G1254" i="5" s="1"/>
  <c r="T1259" i="5"/>
  <c r="AB1259" i="5"/>
  <c r="S1259" i="5"/>
  <c r="V1260" i="5"/>
  <c r="G1260" i="5" s="1"/>
  <c r="V1288" i="5"/>
  <c r="G1288" i="5" s="1"/>
  <c r="G1314" i="5"/>
  <c r="F1314" i="5"/>
  <c r="J1314" i="5"/>
  <c r="I1314" i="5"/>
  <c r="H1314" i="5"/>
  <c r="E1314" i="5"/>
  <c r="X1314" i="5" s="1"/>
  <c r="R1314" i="5"/>
  <c r="G1180" i="5"/>
  <c r="G1188" i="5"/>
  <c r="AB1204" i="5"/>
  <c r="T1204" i="5"/>
  <c r="AB1212" i="5"/>
  <c r="V1216" i="5"/>
  <c r="R1222" i="5"/>
  <c r="J1222" i="5"/>
  <c r="I1222" i="5"/>
  <c r="G1222" i="5"/>
  <c r="V1229" i="5"/>
  <c r="G1229" i="5" s="1"/>
  <c r="AB1229" i="5"/>
  <c r="AB1235" i="5"/>
  <c r="S1235" i="5"/>
  <c r="J1243" i="5"/>
  <c r="H1243" i="5"/>
  <c r="R1243" i="5"/>
  <c r="I1243" i="5"/>
  <c r="E1243" i="5"/>
  <c r="X1243" i="5" s="1"/>
  <c r="AB1251" i="5"/>
  <c r="S1251" i="5"/>
  <c r="E1256" i="5"/>
  <c r="X1256" i="5" s="1"/>
  <c r="T1271" i="5"/>
  <c r="AB1271" i="5"/>
  <c r="S1271" i="5"/>
  <c r="R1277" i="5"/>
  <c r="J1277" i="5"/>
  <c r="I1277" i="5"/>
  <c r="H1277" i="5"/>
  <c r="F1277" i="5"/>
  <c r="E1277" i="5"/>
  <c r="X1277" i="5" s="1"/>
  <c r="AB1305" i="5"/>
  <c r="V1305" i="5"/>
  <c r="G1305" i="5" s="1"/>
  <c r="G1235" i="5"/>
  <c r="S1244" i="5"/>
  <c r="AB1244" i="5"/>
  <c r="V1246" i="5"/>
  <c r="G1246" i="5" s="1"/>
  <c r="S1249" i="5"/>
  <c r="AB1249" i="5"/>
  <c r="G1251" i="5"/>
  <c r="V1269" i="5"/>
  <c r="G1269" i="5" s="1"/>
  <c r="AB1233" i="5"/>
  <c r="T1233" i="5"/>
  <c r="J1256" i="5"/>
  <c r="R1256" i="5"/>
  <c r="I1256" i="5"/>
  <c r="H1256" i="5"/>
  <c r="F1256" i="5"/>
  <c r="AB1276" i="5"/>
  <c r="S1276" i="5"/>
  <c r="T1276" i="5"/>
  <c r="AB1238" i="5"/>
  <c r="T1238" i="5"/>
  <c r="AB1246" i="5"/>
  <c r="T1246" i="5"/>
  <c r="AB1254" i="5"/>
  <c r="T1254" i="5"/>
  <c r="J1265" i="5"/>
  <c r="I1265" i="5"/>
  <c r="E1265" i="5"/>
  <c r="X1265" i="5" s="1"/>
  <c r="T1267" i="5"/>
  <c r="AB1267" i="5"/>
  <c r="S1267" i="5"/>
  <c r="F1271" i="5"/>
  <c r="E1271" i="5"/>
  <c r="X1271" i="5" s="1"/>
  <c r="R1271" i="5"/>
  <c r="J1271" i="5"/>
  <c r="I1271" i="5"/>
  <c r="H1271" i="5"/>
  <c r="V1276" i="5"/>
  <c r="G1276" i="5" s="1"/>
  <c r="AB1293" i="5"/>
  <c r="V1293" i="5"/>
  <c r="G1293" i="5" s="1"/>
  <c r="V1347" i="5"/>
  <c r="G1347" i="5" s="1"/>
  <c r="D14" i="6"/>
  <c r="T1257" i="5"/>
  <c r="AB1281" i="5"/>
  <c r="V1296" i="5"/>
  <c r="R1297" i="5"/>
  <c r="J1297" i="5"/>
  <c r="I1297" i="5"/>
  <c r="H1297" i="5"/>
  <c r="F1297" i="5"/>
  <c r="E1297" i="5"/>
  <c r="X1297" i="5" s="1"/>
  <c r="R1322" i="5"/>
  <c r="J1322" i="5"/>
  <c r="I1322" i="5"/>
  <c r="H1322" i="5"/>
  <c r="G1322" i="5"/>
  <c r="F1322" i="5"/>
  <c r="E1322" i="5"/>
  <c r="X1322" i="5" s="1"/>
  <c r="J1337" i="5"/>
  <c r="I1337" i="5"/>
  <c r="R1337" i="5"/>
  <c r="H1337" i="5"/>
  <c r="F1337" i="5"/>
  <c r="E1337" i="5"/>
  <c r="X1337" i="5" s="1"/>
  <c r="AB1367" i="5"/>
  <c r="T1367" i="5"/>
  <c r="S1367" i="5"/>
  <c r="T1377" i="5"/>
  <c r="S1377" i="5"/>
  <c r="T1212" i="5"/>
  <c r="R1215" i="5"/>
  <c r="T1216" i="5"/>
  <c r="T1220" i="5"/>
  <c r="R1223" i="5"/>
  <c r="T1224" i="5"/>
  <c r="R1227" i="5"/>
  <c r="G1233" i="5"/>
  <c r="AB1239" i="5"/>
  <c r="T1239" i="5"/>
  <c r="AB1247" i="5"/>
  <c r="T1247" i="5"/>
  <c r="AB1255" i="5"/>
  <c r="T1255" i="5"/>
  <c r="G1265" i="5"/>
  <c r="I1272" i="5"/>
  <c r="H1272" i="5"/>
  <c r="J1272" i="5"/>
  <c r="F1272" i="5"/>
  <c r="E1272" i="5"/>
  <c r="X1272" i="5" s="1"/>
  <c r="R1289" i="5"/>
  <c r="J1289" i="5"/>
  <c r="I1289" i="5"/>
  <c r="H1289" i="5"/>
  <c r="V1367" i="5"/>
  <c r="J1375" i="5"/>
  <c r="I1375" i="5"/>
  <c r="H1375" i="5"/>
  <c r="R1375" i="5"/>
  <c r="G1375" i="5"/>
  <c r="F1375" i="5"/>
  <c r="H1233" i="5"/>
  <c r="S1234" i="5"/>
  <c r="V1239" i="5"/>
  <c r="V1247" i="5"/>
  <c r="V1255" i="5"/>
  <c r="AB1257" i="5"/>
  <c r="H1265" i="5"/>
  <c r="AB1277" i="5"/>
  <c r="G1277" i="5"/>
  <c r="V1336" i="5"/>
  <c r="G1336" i="5" s="1"/>
  <c r="AB1228" i="5"/>
  <c r="F1230" i="5"/>
  <c r="I1233" i="5"/>
  <c r="T1234" i="5"/>
  <c r="F1236" i="5"/>
  <c r="G1241" i="5"/>
  <c r="AB1242" i="5"/>
  <c r="T1242" i="5"/>
  <c r="F1244" i="5"/>
  <c r="G1249" i="5"/>
  <c r="AB1250" i="5"/>
  <c r="T1250" i="5"/>
  <c r="F1252" i="5"/>
  <c r="G1257" i="5"/>
  <c r="R1265" i="5"/>
  <c r="V1268" i="5"/>
  <c r="G1268" i="5" s="1"/>
  <c r="V1275" i="5"/>
  <c r="V1281" i="5"/>
  <c r="R1285" i="5"/>
  <c r="J1285" i="5"/>
  <c r="I1285" i="5"/>
  <c r="H1285" i="5"/>
  <c r="F1285" i="5"/>
  <c r="E1285" i="5"/>
  <c r="X1285" i="5" s="1"/>
  <c r="F1289" i="5"/>
  <c r="AB1300" i="5"/>
  <c r="T1300" i="5"/>
  <c r="S1300" i="5"/>
  <c r="V1308" i="5"/>
  <c r="G1308" i="5" s="1"/>
  <c r="J1326" i="5"/>
  <c r="I1326" i="5"/>
  <c r="H1326" i="5"/>
  <c r="G1326" i="5"/>
  <c r="F1326" i="5"/>
  <c r="E1326" i="5"/>
  <c r="X1326" i="5" s="1"/>
  <c r="R1326" i="5"/>
  <c r="J1233" i="5"/>
  <c r="T1237" i="5"/>
  <c r="T1240" i="5"/>
  <c r="H1242" i="5"/>
  <c r="F1242" i="5"/>
  <c r="T1245" i="5"/>
  <c r="T1248" i="5"/>
  <c r="H1250" i="5"/>
  <c r="F1250" i="5"/>
  <c r="T1253" i="5"/>
  <c r="T1256" i="5"/>
  <c r="S1263" i="5"/>
  <c r="S1264" i="5"/>
  <c r="R1266" i="5"/>
  <c r="I1266" i="5"/>
  <c r="H1266" i="5"/>
  <c r="F1266" i="5"/>
  <c r="AB1269" i="5"/>
  <c r="S1275" i="5"/>
  <c r="E1298" i="5"/>
  <c r="X1298" i="5" s="1"/>
  <c r="R1298" i="5"/>
  <c r="J1298" i="5"/>
  <c r="I1298" i="5"/>
  <c r="H1298" i="5"/>
  <c r="G1298" i="5"/>
  <c r="F1298" i="5"/>
  <c r="V1300" i="5"/>
  <c r="G1300" i="5" s="1"/>
  <c r="AB1332" i="5"/>
  <c r="T1332" i="5"/>
  <c r="S1332" i="5"/>
  <c r="H1352" i="5"/>
  <c r="R1352" i="5"/>
  <c r="J1352" i="5"/>
  <c r="E1352" i="5"/>
  <c r="X1352" i="5" s="1"/>
  <c r="F1352" i="5"/>
  <c r="T1356" i="5"/>
  <c r="S1356" i="5"/>
  <c r="AB1356" i="5"/>
  <c r="V1264" i="5"/>
  <c r="G1272" i="5"/>
  <c r="V1273" i="5"/>
  <c r="T1279" i="5"/>
  <c r="S1279" i="5"/>
  <c r="V1280" i="5"/>
  <c r="AB1284" i="5"/>
  <c r="AB1285" i="5"/>
  <c r="G1285" i="5"/>
  <c r="AB1292" i="5"/>
  <c r="T1292" i="5"/>
  <c r="E1302" i="5"/>
  <c r="X1302" i="5" s="1"/>
  <c r="R1302" i="5"/>
  <c r="J1302" i="5"/>
  <c r="I1302" i="5"/>
  <c r="AB1321" i="5"/>
  <c r="T1321" i="5"/>
  <c r="S1321" i="5"/>
  <c r="G1324" i="5"/>
  <c r="AB1345" i="5"/>
  <c r="T1345" i="5"/>
  <c r="S1345" i="5"/>
  <c r="R1350" i="5"/>
  <c r="I1350" i="5"/>
  <c r="H1350" i="5"/>
  <c r="G1350" i="5"/>
  <c r="F1350" i="5"/>
  <c r="E1350" i="5"/>
  <c r="X1350" i="5" s="1"/>
  <c r="T1283" i="5"/>
  <c r="S1283" i="5"/>
  <c r="V1284" i="5"/>
  <c r="G1284" i="5" s="1"/>
  <c r="V1292" i="5"/>
  <c r="G1292" i="5" s="1"/>
  <c r="AB1297" i="5"/>
  <c r="G1297" i="5"/>
  <c r="AB1304" i="5"/>
  <c r="T1304" i="5"/>
  <c r="V1311" i="5"/>
  <c r="G1311" i="5" s="1"/>
  <c r="V1321" i="5"/>
  <c r="G1321" i="5" s="1"/>
  <c r="S1330" i="5"/>
  <c r="AB1330" i="5"/>
  <c r="T1330" i="5"/>
  <c r="J1333" i="5"/>
  <c r="I1333" i="5"/>
  <c r="E1333" i="5"/>
  <c r="X1333" i="5" s="1"/>
  <c r="R1333" i="5"/>
  <c r="H1333" i="5"/>
  <c r="V1345" i="5"/>
  <c r="J1353" i="5"/>
  <c r="I1353" i="5"/>
  <c r="R1353" i="5"/>
  <c r="H1353" i="5"/>
  <c r="F1353" i="5"/>
  <c r="E1353" i="5"/>
  <c r="X1353" i="5" s="1"/>
  <c r="AB1364" i="5"/>
  <c r="T1364" i="5"/>
  <c r="S1364" i="5"/>
  <c r="T1373" i="5"/>
  <c r="S1373" i="5"/>
  <c r="F1259" i="5"/>
  <c r="E1259" i="5"/>
  <c r="X1259" i="5" s="1"/>
  <c r="F1267" i="5"/>
  <c r="E1267" i="5"/>
  <c r="X1267" i="5" s="1"/>
  <c r="V1304" i="5"/>
  <c r="G1304" i="5" s="1"/>
  <c r="V1309" i="5"/>
  <c r="G1309" i="5" s="1"/>
  <c r="AB1309" i="5"/>
  <c r="F1333" i="5"/>
  <c r="H1359" i="5"/>
  <c r="I1359" i="5"/>
  <c r="F1359" i="5"/>
  <c r="E1359" i="5"/>
  <c r="X1359" i="5" s="1"/>
  <c r="R1359" i="5"/>
  <c r="J1359" i="5"/>
  <c r="V1373" i="5"/>
  <c r="G1373" i="5" s="1"/>
  <c r="AB1268" i="5"/>
  <c r="T1268" i="5"/>
  <c r="AB1289" i="5"/>
  <c r="X1289" i="5"/>
  <c r="G1289" i="5"/>
  <c r="AB1296" i="5"/>
  <c r="T1296" i="5"/>
  <c r="E1306" i="5"/>
  <c r="X1306" i="5" s="1"/>
  <c r="R1306" i="5"/>
  <c r="J1306" i="5"/>
  <c r="I1306" i="5"/>
  <c r="S1314" i="5"/>
  <c r="AB1314" i="5"/>
  <c r="H1324" i="5"/>
  <c r="R1324" i="5"/>
  <c r="J1324" i="5"/>
  <c r="F1324" i="5"/>
  <c r="E1324" i="5"/>
  <c r="X1324" i="5" s="1"/>
  <c r="G1333" i="5"/>
  <c r="T1362" i="5"/>
  <c r="AB1362" i="5"/>
  <c r="S1362" i="5"/>
  <c r="AB1308" i="5"/>
  <c r="T1308" i="5"/>
  <c r="J1313" i="5"/>
  <c r="R1313" i="5"/>
  <c r="I1313" i="5"/>
  <c r="H1313" i="5"/>
  <c r="S1318" i="5"/>
  <c r="T1318" i="5"/>
  <c r="AB1318" i="5"/>
  <c r="J1379" i="5"/>
  <c r="I1379" i="5"/>
  <c r="H1379" i="5"/>
  <c r="R1379" i="5"/>
  <c r="G1379" i="5"/>
  <c r="F1379" i="5"/>
  <c r="T1312" i="5"/>
  <c r="J1341" i="5"/>
  <c r="I1341" i="5"/>
  <c r="E1341" i="5"/>
  <c r="X1341" i="5" s="1"/>
  <c r="V1362" i="5"/>
  <c r="G1362" i="5" s="1"/>
  <c r="T1370" i="5"/>
  <c r="S1370" i="5"/>
  <c r="S1287" i="5"/>
  <c r="S1291" i="5"/>
  <c r="S1295" i="5"/>
  <c r="S1299" i="5"/>
  <c r="S1303" i="5"/>
  <c r="S1307" i="5"/>
  <c r="T1310" i="5"/>
  <c r="V1312" i="5"/>
  <c r="G1312" i="5" s="1"/>
  <c r="F1315" i="5"/>
  <c r="R1315" i="5"/>
  <c r="J1315" i="5"/>
  <c r="AB1326" i="5"/>
  <c r="H1328" i="5"/>
  <c r="R1328" i="5"/>
  <c r="J1328" i="5"/>
  <c r="I1328" i="5"/>
  <c r="R1334" i="5"/>
  <c r="I1334" i="5"/>
  <c r="H1334" i="5"/>
  <c r="G1334" i="5"/>
  <c r="F1334" i="5"/>
  <c r="F1341" i="5"/>
  <c r="G1353" i="5"/>
  <c r="AB1355" i="5"/>
  <c r="T1355" i="5"/>
  <c r="S1355" i="5"/>
  <c r="T1358" i="5"/>
  <c r="AB1358" i="5"/>
  <c r="F1370" i="5"/>
  <c r="E1370" i="5"/>
  <c r="R1370" i="5"/>
  <c r="J1370" i="5"/>
  <c r="I1370" i="5"/>
  <c r="H1370" i="5"/>
  <c r="T1374" i="5"/>
  <c r="S1374" i="5"/>
  <c r="V1377" i="5"/>
  <c r="G1377" i="5" s="1"/>
  <c r="V1381" i="5"/>
  <c r="G1381" i="5" s="1"/>
  <c r="F22" i="6"/>
  <c r="B22" i="6"/>
  <c r="F27" i="6" s="1"/>
  <c r="E1315" i="5"/>
  <c r="X1315" i="5" s="1"/>
  <c r="V1317" i="5"/>
  <c r="F1319" i="5"/>
  <c r="J1319" i="5"/>
  <c r="I1319" i="5"/>
  <c r="H1319" i="5"/>
  <c r="V1323" i="5"/>
  <c r="G1323" i="5" s="1"/>
  <c r="V1325" i="5"/>
  <c r="G1325" i="5" s="1"/>
  <c r="AB1337" i="5"/>
  <c r="G1341" i="5"/>
  <c r="V1355" i="5"/>
  <c r="V1368" i="5"/>
  <c r="G1368" i="5" s="1"/>
  <c r="G1370" i="5"/>
  <c r="F1374" i="5"/>
  <c r="E1374" i="5"/>
  <c r="R1374" i="5"/>
  <c r="J1374" i="5"/>
  <c r="I1374" i="5"/>
  <c r="H1374" i="5"/>
  <c r="T1378" i="5"/>
  <c r="S1378" i="5"/>
  <c r="F64" i="6"/>
  <c r="H64" i="6" s="1"/>
  <c r="G5" i="6"/>
  <c r="H5" i="6" s="1"/>
  <c r="H6" i="6"/>
  <c r="V1279" i="5"/>
  <c r="G1279" i="5" s="1"/>
  <c r="V1283" i="5"/>
  <c r="G1283" i="5" s="1"/>
  <c r="V1287" i="5"/>
  <c r="G1287" i="5" s="1"/>
  <c r="V1291" i="5"/>
  <c r="G1291" i="5" s="1"/>
  <c r="V1295" i="5"/>
  <c r="G1295" i="5" s="1"/>
  <c r="V1299" i="5"/>
  <c r="V1303" i="5"/>
  <c r="G1303" i="5" s="1"/>
  <c r="V1307" i="5"/>
  <c r="G1307" i="5" s="1"/>
  <c r="E1310" i="5"/>
  <c r="X1310" i="5" s="1"/>
  <c r="G1315" i="5"/>
  <c r="V1316" i="5"/>
  <c r="E1319" i="5"/>
  <c r="X1319" i="5" s="1"/>
  <c r="G1337" i="5"/>
  <c r="H1341" i="5"/>
  <c r="J1349" i="5"/>
  <c r="I1349" i="5"/>
  <c r="E1349" i="5"/>
  <c r="X1349" i="5" s="1"/>
  <c r="G1352" i="5"/>
  <c r="S1353" i="5"/>
  <c r="AB1363" i="5"/>
  <c r="T1363" i="5"/>
  <c r="S1363" i="5"/>
  <c r="T1366" i="5"/>
  <c r="S1366" i="5"/>
  <c r="G1374" i="5"/>
  <c r="F1378" i="5"/>
  <c r="E1378" i="5"/>
  <c r="R1378" i="5"/>
  <c r="J1378" i="5"/>
  <c r="I1378" i="5"/>
  <c r="H1378" i="5"/>
  <c r="AB1310" i="5"/>
  <c r="H1315" i="5"/>
  <c r="G1328" i="5"/>
  <c r="I1330" i="5"/>
  <c r="H1330" i="5"/>
  <c r="G1330" i="5"/>
  <c r="F1330" i="5"/>
  <c r="F1339" i="5"/>
  <c r="E1339" i="5"/>
  <c r="X1339" i="5" s="1"/>
  <c r="R1339" i="5"/>
  <c r="J1339" i="5"/>
  <c r="I1339" i="5"/>
  <c r="H1339" i="5"/>
  <c r="R1341" i="5"/>
  <c r="V1344" i="5"/>
  <c r="F1349" i="5"/>
  <c r="T1353" i="5"/>
  <c r="J1360" i="5"/>
  <c r="I1360" i="5"/>
  <c r="R1360" i="5"/>
  <c r="H1360" i="5"/>
  <c r="F1360" i="5"/>
  <c r="E1360" i="5"/>
  <c r="X1360" i="5" s="1"/>
  <c r="V1363" i="5"/>
  <c r="F1366" i="5"/>
  <c r="E1366" i="5"/>
  <c r="X1366" i="5" s="1"/>
  <c r="I1366" i="5"/>
  <c r="H1366" i="5"/>
  <c r="R1366" i="5"/>
  <c r="J1366" i="5"/>
  <c r="G1366" i="5"/>
  <c r="J1371" i="5"/>
  <c r="I1371" i="5"/>
  <c r="H1371" i="5"/>
  <c r="G17" i="6"/>
  <c r="H17" i="6" s="1"/>
  <c r="AB1320" i="5"/>
  <c r="S1320" i="5"/>
  <c r="S1327" i="5"/>
  <c r="S1329" i="5"/>
  <c r="J1338" i="5"/>
  <c r="V1340" i="5"/>
  <c r="G1340" i="5" s="1"/>
  <c r="J1346" i="5"/>
  <c r="V1348" i="5"/>
  <c r="G1359" i="5"/>
  <c r="G1365" i="5"/>
  <c r="T1372" i="5"/>
  <c r="S1372" i="5"/>
  <c r="T1376" i="5"/>
  <c r="S1376" i="5"/>
  <c r="T1380" i="5"/>
  <c r="S1380" i="5"/>
  <c r="D9" i="6"/>
  <c r="G15" i="6"/>
  <c r="H15" i="6" s="1"/>
  <c r="B20" i="6"/>
  <c r="F25" i="6" s="1"/>
  <c r="AB1324" i="5"/>
  <c r="S1324" i="5"/>
  <c r="F1335" i="5"/>
  <c r="E1335" i="5"/>
  <c r="X1335" i="5" s="1"/>
  <c r="AB1335" i="5"/>
  <c r="F1343" i="5"/>
  <c r="E1343" i="5"/>
  <c r="X1343" i="5" s="1"/>
  <c r="AB1343" i="5"/>
  <c r="F1351" i="5"/>
  <c r="E1351" i="5"/>
  <c r="X1351" i="5" s="1"/>
  <c r="AB1351" i="5"/>
  <c r="T1371" i="5"/>
  <c r="S1371" i="5"/>
  <c r="F1372" i="5"/>
  <c r="E1372" i="5"/>
  <c r="R1372" i="5"/>
  <c r="J1372" i="5"/>
  <c r="T1375" i="5"/>
  <c r="S1375" i="5"/>
  <c r="F1376" i="5"/>
  <c r="E1376" i="5"/>
  <c r="R1376" i="5"/>
  <c r="J1376" i="5"/>
  <c r="T1379" i="5"/>
  <c r="S1379" i="5"/>
  <c r="F1380" i="5"/>
  <c r="E1380" i="5"/>
  <c r="R1380" i="5"/>
  <c r="J1380" i="5"/>
  <c r="AB1336" i="5"/>
  <c r="T1336" i="5"/>
  <c r="AB1344" i="5"/>
  <c r="T1344" i="5"/>
  <c r="AB1352" i="5"/>
  <c r="T1352" i="5"/>
  <c r="R1365" i="5"/>
  <c r="J1365" i="5"/>
  <c r="I1365" i="5"/>
  <c r="AB1368" i="5"/>
  <c r="D4" i="6"/>
  <c r="V1356" i="5"/>
  <c r="F1358" i="5"/>
  <c r="E1358" i="5"/>
  <c r="X1358" i="5" s="1"/>
  <c r="V1364" i="5"/>
  <c r="R1369" i="5"/>
  <c r="J1369" i="5"/>
  <c r="S1381" i="5"/>
  <c r="S1354" i="5"/>
  <c r="G1358" i="5"/>
  <c r="AB1359" i="5"/>
  <c r="T1359" i="5"/>
  <c r="E1361" i="5"/>
  <c r="X1361" i="5" s="1"/>
  <c r="T1381"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T65" i="5"/>
  <c r="T268" i="5"/>
  <c r="T46" i="5"/>
  <c r="T13" i="5"/>
  <c r="T69" i="5"/>
  <c r="T178" i="5"/>
  <c r="T236" i="5"/>
  <c r="S259" i="5"/>
  <c r="T263" i="5"/>
  <c r="T262" i="5"/>
  <c r="T36" i="5"/>
  <c r="T252" i="5"/>
  <c r="T153" i="5"/>
  <c r="T84" i="5"/>
  <c r="S34" i="5"/>
  <c r="T308" i="5"/>
  <c r="T144" i="5"/>
  <c r="T238" i="5"/>
  <c r="S172" i="5"/>
  <c r="S12" i="5"/>
  <c r="S52" i="5"/>
  <c r="T42" i="5"/>
  <c r="T242" i="5"/>
  <c r="S50" i="5"/>
  <c r="T116" i="5"/>
  <c r="T136" i="5"/>
  <c r="T197" i="5"/>
  <c r="T189" i="5"/>
  <c r="T201" i="5"/>
  <c r="T190" i="5"/>
  <c r="S324" i="5"/>
  <c r="T275" i="5"/>
  <c r="T244" i="5"/>
  <c r="S26" i="5"/>
  <c r="T209" i="5"/>
  <c r="T41" i="5"/>
  <c r="T150" i="5"/>
  <c r="T54" i="5"/>
  <c r="S28" i="5"/>
  <c r="S343" i="5"/>
  <c r="S263" i="5"/>
  <c r="T226" i="5"/>
  <c r="S206" i="5"/>
  <c r="T53" i="5"/>
  <c r="T343" i="5"/>
  <c r="S186" i="5"/>
  <c r="S182" i="5"/>
  <c r="S328" i="5"/>
  <c r="S264" i="5"/>
  <c r="T120" i="5"/>
  <c r="T300" i="5"/>
  <c r="T138" i="5"/>
  <c r="T283" i="5"/>
  <c r="T288" i="5"/>
  <c r="T259" i="5"/>
  <c r="T213" i="5"/>
  <c r="T8" i="5"/>
  <c r="T114" i="5"/>
  <c r="T248" i="5"/>
  <c r="S170" i="5"/>
  <c r="S8" i="5"/>
  <c r="S118" i="5"/>
  <c r="T169" i="5"/>
  <c r="S92" i="5"/>
  <c r="S10" i="5"/>
  <c r="T256" i="5"/>
  <c r="S152" i="5"/>
  <c r="S90" i="5"/>
  <c r="T222" i="5"/>
  <c r="T286" i="5"/>
  <c r="T340" i="5"/>
  <c r="T125" i="5"/>
  <c r="T292" i="5"/>
  <c r="T172" i="5"/>
  <c r="T296" i="5"/>
  <c r="T224" i="5"/>
  <c r="S102" i="5"/>
  <c r="T258" i="5"/>
  <c r="S70" i="5"/>
  <c r="S38" i="5"/>
  <c r="T82" i="5"/>
  <c r="T12" i="5"/>
  <c r="S337" i="5"/>
  <c r="T319" i="5"/>
  <c r="T302" i="5"/>
  <c r="T314" i="5"/>
  <c r="T279" i="5"/>
  <c r="T170" i="5"/>
  <c r="T32" i="5"/>
  <c r="T10" i="5"/>
  <c r="T160" i="5"/>
  <c r="S184" i="5"/>
  <c r="S162" i="5"/>
  <c r="S105" i="5"/>
  <c r="T73" i="5"/>
  <c r="T272" i="5"/>
  <c r="S86" i="5"/>
  <c r="T45" i="5"/>
  <c r="S190" i="5"/>
  <c r="S307" i="5"/>
  <c r="S312" i="5"/>
  <c r="T140" i="5"/>
  <c r="T86" i="5"/>
  <c r="T121" i="5"/>
  <c r="S342" i="5"/>
  <c r="S142" i="5"/>
  <c r="T77" i="5"/>
  <c r="T241" i="5"/>
  <c r="T336" i="5"/>
  <c r="T108" i="5"/>
  <c r="T156" i="5"/>
  <c r="S315" i="5"/>
  <c r="T76" i="5"/>
  <c r="S333" i="5"/>
  <c r="T34" i="5"/>
  <c r="T132" i="5"/>
  <c r="T186" i="5"/>
  <c r="T278" i="5"/>
  <c r="T141" i="5"/>
  <c r="S338" i="5"/>
  <c r="T148" i="5"/>
  <c r="T92" i="5"/>
  <c r="T217" i="5"/>
  <c r="T80" i="5"/>
  <c r="T7" i="5"/>
  <c r="S76" i="5"/>
  <c r="S304" i="5"/>
  <c r="S84" i="5"/>
  <c r="S46" i="5"/>
  <c r="T149" i="5"/>
  <c r="T333" i="5"/>
  <c r="T124" i="5"/>
  <c r="T230" i="5"/>
  <c r="T145" i="5"/>
  <c r="T232" i="5"/>
  <c r="T22" i="5"/>
  <c r="T298" i="5"/>
  <c r="T316" i="5"/>
  <c r="T88" i="5"/>
  <c r="T96" i="5"/>
  <c r="T142" i="5"/>
  <c r="T299" i="5"/>
  <c r="T193" i="5"/>
  <c r="T266" i="5"/>
  <c r="S114" i="5"/>
  <c r="S21" i="5"/>
  <c r="T174" i="5"/>
  <c r="S40" i="5"/>
  <c r="T146" i="5"/>
  <c r="S9" i="5"/>
  <c r="S62" i="5"/>
  <c r="T97" i="5"/>
  <c r="T330" i="5"/>
  <c r="T271" i="5"/>
  <c r="S65" i="5"/>
  <c r="T312" i="5"/>
  <c r="T328" i="5"/>
  <c r="S332" i="5"/>
  <c r="T37" i="5"/>
  <c r="T60" i="5"/>
  <c r="T49" i="5"/>
  <c r="T260" i="5"/>
  <c r="S267" i="5"/>
  <c r="T112" i="5"/>
  <c r="T11" i="5"/>
  <c r="T184" i="5"/>
  <c r="T253" i="5"/>
  <c r="T177" i="5"/>
  <c r="T304" i="5"/>
  <c r="S112" i="5"/>
  <c r="T214" i="5"/>
  <c r="T303" i="5"/>
  <c r="T24" i="5"/>
  <c r="T335" i="5"/>
  <c r="S125" i="5"/>
  <c r="T72" i="5"/>
  <c r="S72" i="5"/>
  <c r="T204" i="5"/>
  <c r="S341" i="5"/>
  <c r="T237" i="5"/>
  <c r="T185" i="5"/>
  <c r="T85" i="5"/>
  <c r="T161" i="5"/>
  <c r="T295" i="5"/>
  <c r="T110" i="5"/>
  <c r="T200" i="5"/>
  <c r="S134" i="5"/>
  <c r="T315" i="5"/>
  <c r="T50" i="5"/>
  <c r="T40" i="5"/>
  <c r="S198" i="5"/>
  <c r="S20" i="5"/>
  <c r="S300" i="5"/>
  <c r="S316" i="5"/>
  <c r="T62" i="5"/>
  <c r="S98" i="5"/>
  <c r="T234" i="5"/>
  <c r="S214" i="5"/>
  <c r="T225" i="5"/>
  <c r="T251" i="5"/>
  <c r="T176" i="5"/>
  <c r="T228" i="5"/>
  <c r="S308" i="5"/>
  <c r="T168" i="5"/>
  <c r="T188" i="5"/>
  <c r="S323" i="5"/>
  <c r="T16" i="5"/>
  <c r="T324" i="5"/>
  <c r="S94" i="5"/>
  <c r="S311" i="5"/>
  <c r="T26" i="5"/>
  <c r="S174" i="5"/>
  <c r="S42" i="5"/>
  <c r="S74" i="5"/>
  <c r="T44" i="5"/>
  <c r="T206" i="5"/>
  <c r="T58" i="5"/>
  <c r="S276" i="5"/>
  <c r="S295" i="5"/>
  <c r="T89" i="5"/>
  <c r="S292" i="5"/>
  <c r="T33" i="5"/>
  <c r="T267" i="5"/>
  <c r="T93" i="5"/>
  <c r="S210" i="5"/>
  <c r="S140" i="5"/>
  <c r="S320" i="5"/>
  <c r="T162" i="5"/>
  <c r="T52" i="5"/>
  <c r="T134" i="5"/>
  <c r="T157" i="5"/>
  <c r="T307" i="5"/>
  <c r="S44" i="5"/>
  <c r="S334" i="5"/>
  <c r="S60" i="5"/>
  <c r="T323" i="5"/>
  <c r="T94" i="5"/>
  <c r="S344" i="5"/>
  <c r="T74" i="5"/>
  <c r="S58" i="5"/>
  <c r="S303" i="5"/>
  <c r="T152" i="5"/>
  <c r="T182" i="5"/>
  <c r="T64" i="5"/>
  <c r="T128" i="5"/>
  <c r="S138" i="5"/>
  <c r="S217" i="5"/>
  <c r="T332" i="5"/>
  <c r="T117" i="5"/>
  <c r="S14" i="5"/>
  <c r="T246" i="5"/>
  <c r="T338" i="5"/>
  <c r="T219" i="5"/>
  <c r="S287" i="5"/>
  <c r="T164" i="5"/>
  <c r="S319" i="5"/>
  <c r="T311" i="5"/>
  <c r="S150" i="5"/>
  <c r="T98" i="5"/>
  <c r="T5" i="5"/>
  <c r="T118" i="5"/>
  <c r="T173" i="5"/>
  <c r="T48" i="5"/>
  <c r="T210" i="5"/>
  <c r="T17" i="5"/>
  <c r="S178" i="5"/>
  <c r="T291" i="5"/>
  <c r="T61" i="5"/>
  <c r="S279" i="5"/>
  <c r="S110" i="5"/>
  <c r="T129" i="5"/>
  <c r="T287" i="5"/>
  <c r="S331" i="5"/>
  <c r="S144" i="5"/>
  <c r="T250" i="5"/>
  <c r="S336" i="5"/>
  <c r="T9" i="5"/>
  <c r="T240" i="5"/>
  <c r="T284" i="5"/>
  <c r="T21" i="5"/>
  <c r="S219" i="5"/>
  <c r="T70" i="5"/>
  <c r="T25" i="5"/>
  <c r="T101" i="5"/>
  <c r="T320" i="5"/>
  <c r="T264" i="5"/>
  <c r="T29" i="5"/>
  <c r="S256" i="5"/>
  <c r="T68" i="5"/>
  <c r="T247" i="5"/>
  <c r="T181" i="5"/>
  <c r="T276" i="5"/>
  <c r="T165" i="5"/>
  <c r="T113" i="5"/>
  <c r="T20" i="5"/>
  <c r="T56" i="5"/>
  <c r="T342" i="5"/>
  <c r="T102" i="5"/>
  <c r="T216" i="5"/>
  <c r="T81" i="5"/>
  <c r="T327" i="5"/>
  <c r="T57" i="5"/>
  <c r="T137" i="5"/>
  <c r="T133" i="5"/>
  <c r="T339" i="5"/>
  <c r="T28" i="5"/>
  <c r="S82" i="5"/>
  <c r="T233" i="5"/>
  <c r="T105" i="5"/>
  <c r="T38" i="5"/>
  <c r="T331" i="5"/>
  <c r="S108" i="5"/>
  <c r="T100" i="5"/>
  <c r="T14" i="5"/>
  <c r="T198" i="5"/>
  <c r="T341" i="5"/>
  <c r="I1278" i="5" l="1"/>
  <c r="F470" i="5"/>
  <c r="H938" i="5"/>
  <c r="J938" i="5"/>
  <c r="I938" i="5"/>
  <c r="R719" i="5"/>
  <c r="I1114" i="5"/>
  <c r="E1102" i="5"/>
  <c r="X1102" i="5" s="1"/>
  <c r="R938" i="5"/>
  <c r="R558" i="5"/>
  <c r="R404" i="5"/>
  <c r="F404" i="5"/>
  <c r="E1076" i="5"/>
  <c r="X1076" i="5" s="1"/>
  <c r="J728" i="5"/>
  <c r="R1258" i="5"/>
  <c r="G612" i="5"/>
  <c r="J889" i="5"/>
  <c r="H880" i="5"/>
  <c r="J509" i="5"/>
  <c r="I880" i="5"/>
  <c r="J880" i="5"/>
  <c r="G517" i="5"/>
  <c r="F880" i="5"/>
  <c r="R880" i="5"/>
  <c r="H517" i="5"/>
  <c r="E880" i="5"/>
  <c r="X880" i="5" s="1"/>
  <c r="R678" i="5"/>
  <c r="J1290" i="5"/>
  <c r="J651" i="5"/>
  <c r="E369" i="5"/>
  <c r="X369" i="5" s="1"/>
  <c r="J558" i="5"/>
  <c r="I517" i="5"/>
  <c r="J517" i="5"/>
  <c r="R517" i="5"/>
  <c r="E517" i="5"/>
  <c r="X517" i="5" s="1"/>
  <c r="J1034" i="5"/>
  <c r="H728" i="5"/>
  <c r="F1076" i="5"/>
  <c r="R728" i="5"/>
  <c r="E728" i="5"/>
  <c r="X728" i="5" s="1"/>
  <c r="E836" i="5"/>
  <c r="X836" i="5" s="1"/>
  <c r="H844" i="5"/>
  <c r="J1042" i="5"/>
  <c r="F1342" i="5"/>
  <c r="R1290" i="5"/>
  <c r="H1342" i="5"/>
  <c r="I1342" i="5"/>
  <c r="R454" i="5"/>
  <c r="F1290" i="5"/>
  <c r="J1194" i="5"/>
  <c r="G1342" i="5"/>
  <c r="I1290" i="5"/>
  <c r="E1290" i="5"/>
  <c r="X1290" i="5" s="1"/>
  <c r="R509" i="5"/>
  <c r="E509" i="5"/>
  <c r="X509" i="5" s="1"/>
  <c r="H509" i="5"/>
  <c r="J678" i="5"/>
  <c r="H510" i="5"/>
  <c r="I1102" i="5"/>
  <c r="F912" i="5"/>
  <c r="I1110" i="5"/>
  <c r="H659" i="5"/>
  <c r="I659" i="5"/>
  <c r="J529" i="5"/>
  <c r="J659" i="5"/>
  <c r="R659" i="5"/>
  <c r="J590" i="5"/>
  <c r="R522" i="5"/>
  <c r="E659" i="5"/>
  <c r="X659" i="5" s="1"/>
  <c r="R578" i="5"/>
  <c r="F659" i="5"/>
  <c r="J578" i="5"/>
  <c r="J1278" i="5"/>
  <c r="J1066" i="5"/>
  <c r="F369" i="5"/>
  <c r="R1278" i="5"/>
  <c r="H369" i="5"/>
  <c r="E1278" i="5"/>
  <c r="X1278" i="5" s="1"/>
  <c r="I369" i="5"/>
  <c r="R1219" i="5"/>
  <c r="I1202" i="5"/>
  <c r="F1278" i="5"/>
  <c r="J1202" i="5"/>
  <c r="R1066" i="5"/>
  <c r="G1278" i="5"/>
  <c r="R1202" i="5"/>
  <c r="E1166" i="5"/>
  <c r="X1166" i="5" s="1"/>
  <c r="H1134" i="5"/>
  <c r="R888" i="5"/>
  <c r="R1203" i="5"/>
  <c r="E888" i="5"/>
  <c r="X888" i="5" s="1"/>
  <c r="F1219" i="5"/>
  <c r="J1219" i="5"/>
  <c r="H1219" i="5"/>
  <c r="E612" i="5"/>
  <c r="X612" i="5" s="1"/>
  <c r="H612" i="5"/>
  <c r="H1187" i="5"/>
  <c r="G549" i="5"/>
  <c r="J912" i="5"/>
  <c r="J777" i="5"/>
  <c r="R1050" i="5"/>
  <c r="H486" i="5"/>
  <c r="I1219" i="5"/>
  <c r="E541" i="5"/>
  <c r="X541" i="5" s="1"/>
  <c r="C11" i="6"/>
  <c r="C9" i="6"/>
  <c r="C10" i="6"/>
  <c r="C8" i="6"/>
  <c r="C4" i="6"/>
  <c r="R1042" i="5"/>
  <c r="I844" i="5"/>
  <c r="E1042" i="5"/>
  <c r="X1042" i="5" s="1"/>
  <c r="J946" i="5"/>
  <c r="I946" i="5"/>
  <c r="J844" i="5"/>
  <c r="X205" i="5"/>
  <c r="E921" i="5"/>
  <c r="X921" i="5" s="1"/>
  <c r="R921" i="5"/>
  <c r="R844" i="5"/>
  <c r="E844" i="5"/>
  <c r="X844" i="5" s="1"/>
  <c r="H836" i="5"/>
  <c r="R946" i="5"/>
  <c r="I836" i="5"/>
  <c r="H946" i="5"/>
  <c r="J836" i="5"/>
  <c r="R836" i="5"/>
  <c r="X278" i="5"/>
  <c r="X237" i="5"/>
  <c r="X262" i="5"/>
  <c r="X101" i="5"/>
  <c r="X141" i="5"/>
  <c r="X291" i="5"/>
  <c r="X136" i="5"/>
  <c r="X80" i="5"/>
  <c r="X253" i="5"/>
  <c r="X36" i="5"/>
  <c r="X238" i="5"/>
  <c r="X275" i="5"/>
  <c r="X241" i="5"/>
  <c r="X225" i="5"/>
  <c r="X61" i="5"/>
  <c r="X145" i="5"/>
  <c r="X64" i="5"/>
  <c r="X302" i="5"/>
  <c r="X37" i="5"/>
  <c r="X251" i="5"/>
  <c r="X271" i="5"/>
  <c r="X233" i="5"/>
  <c r="X69" i="5"/>
  <c r="X129" i="5"/>
  <c r="X148" i="5"/>
  <c r="X244" i="5"/>
  <c r="X13" i="5"/>
  <c r="X156" i="5"/>
  <c r="X216" i="5"/>
  <c r="X113" i="5"/>
  <c r="X49" i="5"/>
  <c r="X149" i="5"/>
  <c r="X89" i="5"/>
  <c r="X268" i="5"/>
  <c r="X73" i="5"/>
  <c r="X246" i="5"/>
  <c r="X161" i="5"/>
  <c r="X29" i="5"/>
  <c r="X248" i="5"/>
  <c r="X250" i="5"/>
  <c r="X197" i="5"/>
  <c r="X121" i="5"/>
  <c r="X77" i="5"/>
  <c r="X240" i="5"/>
  <c r="X53" i="5"/>
  <c r="X57" i="5"/>
  <c r="X41" i="5"/>
  <c r="X132" i="5"/>
  <c r="X193" i="5"/>
  <c r="X97" i="5"/>
  <c r="X133" i="5"/>
  <c r="X117" i="5"/>
  <c r="X284" i="5"/>
  <c r="X230" i="5"/>
  <c r="X11" i="5"/>
  <c r="X242" i="5"/>
  <c r="X33" i="5"/>
  <c r="X226" i="5"/>
  <c r="X168" i="5"/>
  <c r="X232" i="5"/>
  <c r="X288" i="5"/>
  <c r="X272" i="5"/>
  <c r="X5" i="5"/>
  <c r="X45" i="5"/>
  <c r="X298" i="5"/>
  <c r="X228" i="5"/>
  <c r="X7" i="5"/>
  <c r="X165" i="5"/>
  <c r="X234" i="5"/>
  <c r="X157" i="5"/>
  <c r="X260" i="5"/>
  <c r="X200" i="5"/>
  <c r="X236" i="5"/>
  <c r="X164" i="5"/>
  <c r="X224" i="5"/>
  <c r="C12" i="6"/>
  <c r="C7" i="6"/>
  <c r="B32" i="6"/>
  <c r="E1195" i="5"/>
  <c r="X1195" i="5" s="1"/>
  <c r="J796" i="5"/>
  <c r="F612" i="5"/>
  <c r="I736" i="5"/>
  <c r="F454" i="5"/>
  <c r="I612" i="5"/>
  <c r="J1161" i="5"/>
  <c r="F1066" i="5"/>
  <c r="J612" i="5"/>
  <c r="I542" i="5"/>
  <c r="H454" i="5"/>
  <c r="J369" i="5"/>
  <c r="F1286" i="5"/>
  <c r="R546" i="5"/>
  <c r="J454" i="5"/>
  <c r="H1050" i="5"/>
  <c r="J561" i="5"/>
  <c r="J1050" i="5"/>
  <c r="G470" i="5"/>
  <c r="E1050" i="5"/>
  <c r="X1050" i="5" s="1"/>
  <c r="H993" i="5"/>
  <c r="R631" i="5"/>
  <c r="J470" i="5"/>
  <c r="H470" i="5"/>
  <c r="F1178" i="5"/>
  <c r="R470" i="5"/>
  <c r="R1178" i="5"/>
  <c r="E470" i="5"/>
  <c r="X470" i="5" s="1"/>
  <c r="F824" i="5"/>
  <c r="H824" i="5"/>
  <c r="I824" i="5"/>
  <c r="R542" i="5"/>
  <c r="E1240" i="5"/>
  <c r="X1240" i="5" s="1"/>
  <c r="J824" i="5"/>
  <c r="R824" i="5"/>
  <c r="J542" i="5"/>
  <c r="R177" i="5"/>
  <c r="I1240" i="5"/>
  <c r="I1357" i="5"/>
  <c r="E824" i="5"/>
  <c r="X824" i="5" s="1"/>
  <c r="H1202" i="5"/>
  <c r="F542" i="5"/>
  <c r="H542" i="5"/>
  <c r="R1240" i="5"/>
  <c r="R1194" i="5"/>
  <c r="R1034" i="5"/>
  <c r="H663" i="5"/>
  <c r="R1274" i="5"/>
  <c r="J1240" i="5"/>
  <c r="E1034" i="5"/>
  <c r="X1034" i="5" s="1"/>
  <c r="H1274" i="5"/>
  <c r="E1274" i="5"/>
  <c r="X1274" i="5" s="1"/>
  <c r="R318" i="5"/>
  <c r="H1194" i="5"/>
  <c r="F1240" i="5"/>
  <c r="G1194" i="5"/>
  <c r="H1240" i="5"/>
  <c r="I1194" i="5"/>
  <c r="F663" i="5"/>
  <c r="E893" i="5"/>
  <c r="X893" i="5" s="1"/>
  <c r="J893" i="5"/>
  <c r="J601" i="5"/>
  <c r="E561" i="5"/>
  <c r="X561" i="5" s="1"/>
  <c r="J954" i="5"/>
  <c r="I954" i="5"/>
  <c r="J550" i="5"/>
  <c r="E593" i="5"/>
  <c r="X593" i="5" s="1"/>
  <c r="R342" i="5"/>
  <c r="E1134" i="5"/>
  <c r="X1134" i="5" s="1"/>
  <c r="I647" i="5"/>
  <c r="R510" i="5"/>
  <c r="R954" i="5"/>
  <c r="J647" i="5"/>
  <c r="R550" i="5"/>
  <c r="R1134" i="5"/>
  <c r="F403" i="5"/>
  <c r="F550" i="5"/>
  <c r="J1195" i="5"/>
  <c r="I403" i="5"/>
  <c r="H550" i="5"/>
  <c r="R1195" i="5"/>
  <c r="H920" i="5"/>
  <c r="J510" i="5"/>
  <c r="J403" i="5"/>
  <c r="E550" i="5"/>
  <c r="X550" i="5" s="1"/>
  <c r="R30" i="5"/>
  <c r="R601" i="5"/>
  <c r="F557" i="5"/>
  <c r="H549" i="5"/>
  <c r="F558" i="5"/>
  <c r="H577" i="5"/>
  <c r="E601" i="5"/>
  <c r="X601" i="5" s="1"/>
  <c r="G557" i="5"/>
  <c r="G558" i="5"/>
  <c r="F1170" i="5"/>
  <c r="I577" i="5"/>
  <c r="F486" i="5"/>
  <c r="H557" i="5"/>
  <c r="I558" i="5"/>
  <c r="H558" i="5"/>
  <c r="H1170" i="5"/>
  <c r="F813" i="5"/>
  <c r="J577" i="5"/>
  <c r="J486" i="5"/>
  <c r="R589" i="5"/>
  <c r="I557" i="5"/>
  <c r="I1170" i="5"/>
  <c r="R574" i="5"/>
  <c r="J570" i="5"/>
  <c r="R486" i="5"/>
  <c r="E589" i="5"/>
  <c r="X589" i="5" s="1"/>
  <c r="J557" i="5"/>
  <c r="E1170" i="5"/>
  <c r="X1170" i="5" s="1"/>
  <c r="R1170" i="5"/>
  <c r="R570" i="5"/>
  <c r="H601" i="5"/>
  <c r="R557" i="5"/>
  <c r="H1166" i="5"/>
  <c r="I601" i="5"/>
  <c r="J1357" i="5"/>
  <c r="J1109" i="5"/>
  <c r="J518" i="5"/>
  <c r="I385" i="5"/>
  <c r="H1357" i="5"/>
  <c r="G1109" i="5"/>
  <c r="H736" i="5"/>
  <c r="I631" i="5"/>
  <c r="R518" i="5"/>
  <c r="R1357" i="5"/>
  <c r="R1187" i="5"/>
  <c r="J736" i="5"/>
  <c r="E631" i="5"/>
  <c r="X631" i="5" s="1"/>
  <c r="R521" i="5"/>
  <c r="E1187" i="5"/>
  <c r="X1187" i="5" s="1"/>
  <c r="F969" i="5"/>
  <c r="R736" i="5"/>
  <c r="E1357" i="5"/>
  <c r="X1357" i="5" s="1"/>
  <c r="F736" i="5"/>
  <c r="E736" i="5"/>
  <c r="X736" i="5" s="1"/>
  <c r="E545" i="5"/>
  <c r="X545" i="5" s="1"/>
  <c r="E385" i="5"/>
  <c r="X385" i="5" s="1"/>
  <c r="R330" i="5"/>
  <c r="F1357" i="5"/>
  <c r="E1263" i="5"/>
  <c r="X1263" i="5" s="1"/>
  <c r="J1041" i="5"/>
  <c r="R530" i="5"/>
  <c r="J530" i="5"/>
  <c r="F385" i="5"/>
  <c r="R310" i="5"/>
  <c r="E777" i="5"/>
  <c r="X777" i="5" s="1"/>
  <c r="J602" i="5"/>
  <c r="H593" i="5"/>
  <c r="E1090" i="5"/>
  <c r="X1090" i="5" s="1"/>
  <c r="E510" i="5"/>
  <c r="X510" i="5" s="1"/>
  <c r="J1010" i="5"/>
  <c r="J1038" i="5"/>
  <c r="E796" i="5"/>
  <c r="X796" i="5" s="1"/>
  <c r="I593" i="5"/>
  <c r="R1010" i="5"/>
  <c r="R1038" i="5"/>
  <c r="F796" i="5"/>
  <c r="J593" i="5"/>
  <c r="X342" i="5"/>
  <c r="E1010" i="5"/>
  <c r="X1010" i="5" s="1"/>
  <c r="H777" i="5"/>
  <c r="I796" i="5"/>
  <c r="R593" i="5"/>
  <c r="H561" i="5"/>
  <c r="H796" i="5"/>
  <c r="I561" i="5"/>
  <c r="F777" i="5"/>
  <c r="R796" i="5"/>
  <c r="R602" i="5"/>
  <c r="R561" i="5"/>
  <c r="E403" i="5"/>
  <c r="X403" i="5" s="1"/>
  <c r="J1058" i="5"/>
  <c r="H1041" i="5"/>
  <c r="R1061" i="5"/>
  <c r="J545" i="5"/>
  <c r="R537" i="5"/>
  <c r="E565" i="5"/>
  <c r="X565" i="5" s="1"/>
  <c r="H529" i="5"/>
  <c r="I521" i="5"/>
  <c r="R1058" i="5"/>
  <c r="I1041" i="5"/>
  <c r="E889" i="5"/>
  <c r="X889" i="5" s="1"/>
  <c r="E969" i="5"/>
  <c r="X969" i="5" s="1"/>
  <c r="R545" i="5"/>
  <c r="G585" i="5"/>
  <c r="F585" i="5"/>
  <c r="E537" i="5"/>
  <c r="X537" i="5" s="1"/>
  <c r="I529" i="5"/>
  <c r="J521" i="5"/>
  <c r="J1331" i="5"/>
  <c r="F1092" i="5"/>
  <c r="E1092" i="5"/>
  <c r="X1092" i="5" s="1"/>
  <c r="E1061" i="5"/>
  <c r="X1061" i="5" s="1"/>
  <c r="R1041" i="5"/>
  <c r="I920" i="5"/>
  <c r="G969" i="5"/>
  <c r="R534" i="5"/>
  <c r="R529" i="5"/>
  <c r="H585" i="5"/>
  <c r="E521" i="5"/>
  <c r="X521" i="5" s="1"/>
  <c r="R306" i="5"/>
  <c r="F889" i="5"/>
  <c r="R1331" i="5"/>
  <c r="H1092" i="5"/>
  <c r="J920" i="5"/>
  <c r="H969" i="5"/>
  <c r="H565" i="5"/>
  <c r="E529" i="5"/>
  <c r="X529" i="5" s="1"/>
  <c r="I585" i="5"/>
  <c r="F1130" i="5"/>
  <c r="E1130" i="5"/>
  <c r="X1130" i="5" s="1"/>
  <c r="J1074" i="5"/>
  <c r="H1061" i="5"/>
  <c r="R889" i="5"/>
  <c r="R920" i="5"/>
  <c r="I969" i="5"/>
  <c r="H537" i="5"/>
  <c r="F521" i="5"/>
  <c r="I565" i="5"/>
  <c r="F545" i="5"/>
  <c r="J585" i="5"/>
  <c r="R1074" i="5"/>
  <c r="I1061" i="5"/>
  <c r="E920" i="5"/>
  <c r="X920" i="5" s="1"/>
  <c r="J969" i="5"/>
  <c r="J534" i="5"/>
  <c r="H545" i="5"/>
  <c r="G521" i="5"/>
  <c r="I537" i="5"/>
  <c r="J565" i="5"/>
  <c r="R585" i="5"/>
  <c r="J1061" i="5"/>
  <c r="I545" i="5"/>
  <c r="J537" i="5"/>
  <c r="R565" i="5"/>
  <c r="E1074" i="5"/>
  <c r="X1074" i="5" s="1"/>
  <c r="E1286" i="5"/>
  <c r="X1286" i="5" s="1"/>
  <c r="I993" i="5"/>
  <c r="R651" i="5"/>
  <c r="J993" i="5"/>
  <c r="I732" i="5"/>
  <c r="E719" i="5"/>
  <c r="X719" i="5" s="1"/>
  <c r="H651" i="5"/>
  <c r="H688" i="5"/>
  <c r="E651" i="5"/>
  <c r="X651" i="5" s="1"/>
  <c r="R993" i="5"/>
  <c r="H732" i="5"/>
  <c r="I688" i="5"/>
  <c r="F651" i="5"/>
  <c r="F719" i="5"/>
  <c r="J732" i="5"/>
  <c r="J688" i="5"/>
  <c r="G920" i="5"/>
  <c r="I1294" i="5"/>
  <c r="H719" i="5"/>
  <c r="R732" i="5"/>
  <c r="E688" i="5"/>
  <c r="X688" i="5" s="1"/>
  <c r="I719" i="5"/>
  <c r="E732" i="5"/>
  <c r="X732" i="5" s="1"/>
  <c r="R688" i="5"/>
  <c r="G651" i="5"/>
  <c r="F348" i="5"/>
  <c r="R326" i="5"/>
  <c r="J719" i="5"/>
  <c r="H573" i="5"/>
  <c r="G1219" i="5"/>
  <c r="B30" i="6"/>
  <c r="G30" i="6" s="1"/>
  <c r="B41" i="6"/>
  <c r="G41" i="6" s="1"/>
  <c r="B31" i="6"/>
  <c r="G31" i="6" s="1"/>
  <c r="G938" i="5"/>
  <c r="J1294" i="5"/>
  <c r="G1286" i="5"/>
  <c r="J1037" i="5"/>
  <c r="F753" i="5"/>
  <c r="E678" i="5"/>
  <c r="X678" i="5" s="1"/>
  <c r="R647" i="5"/>
  <c r="R577" i="5"/>
  <c r="E486" i="5"/>
  <c r="X486" i="5" s="1"/>
  <c r="E454" i="5"/>
  <c r="X454" i="5" s="1"/>
  <c r="I573" i="5"/>
  <c r="I549" i="5"/>
  <c r="E1202" i="5"/>
  <c r="X1202" i="5" s="1"/>
  <c r="H889" i="5"/>
  <c r="F1074" i="5"/>
  <c r="G593" i="5"/>
  <c r="R1294" i="5"/>
  <c r="H1286" i="5"/>
  <c r="E1194" i="5"/>
  <c r="X1194" i="5" s="1"/>
  <c r="H888" i="5"/>
  <c r="J753" i="5"/>
  <c r="E647" i="5"/>
  <c r="X647" i="5" s="1"/>
  <c r="J546" i="5"/>
  <c r="E577" i="5"/>
  <c r="X577" i="5" s="1"/>
  <c r="J573" i="5"/>
  <c r="F577" i="5"/>
  <c r="F589" i="5"/>
  <c r="J549" i="5"/>
  <c r="J1274" i="5"/>
  <c r="G537" i="5"/>
  <c r="I889" i="5"/>
  <c r="I1074" i="5"/>
  <c r="E1294" i="5"/>
  <c r="X1294" i="5" s="1"/>
  <c r="I1286" i="5"/>
  <c r="F1202" i="5"/>
  <c r="I888" i="5"/>
  <c r="J813" i="5"/>
  <c r="G678" i="5"/>
  <c r="F647" i="5"/>
  <c r="R573" i="5"/>
  <c r="H541" i="5"/>
  <c r="G589" i="5"/>
  <c r="I371" i="5"/>
  <c r="R549" i="5"/>
  <c r="R109" i="5"/>
  <c r="R130" i="5"/>
  <c r="J1286" i="5"/>
  <c r="H1178" i="5"/>
  <c r="H977" i="5"/>
  <c r="J888" i="5"/>
  <c r="R813" i="5"/>
  <c r="H678" i="5"/>
  <c r="H744" i="5"/>
  <c r="I541" i="5"/>
  <c r="G486" i="5"/>
  <c r="G454" i="5"/>
  <c r="H589" i="5"/>
  <c r="F371" i="5"/>
  <c r="J371" i="5"/>
  <c r="E549" i="5"/>
  <c r="X549" i="5" s="1"/>
  <c r="R249" i="5"/>
  <c r="G1290" i="5"/>
  <c r="E1178" i="5"/>
  <c r="X1178" i="5" s="1"/>
  <c r="G813" i="5"/>
  <c r="I678" i="5"/>
  <c r="J541" i="5"/>
  <c r="I589" i="5"/>
  <c r="E371" i="5"/>
  <c r="X371" i="5" s="1"/>
  <c r="X336" i="5"/>
  <c r="R122" i="5"/>
  <c r="E387" i="5"/>
  <c r="X387" i="5" s="1"/>
  <c r="F938" i="5"/>
  <c r="H1074" i="5"/>
  <c r="F1282" i="5"/>
  <c r="F1263" i="5"/>
  <c r="R1166" i="5"/>
  <c r="E1031" i="5"/>
  <c r="X1031" i="5" s="1"/>
  <c r="R1037" i="5"/>
  <c r="I977" i="5"/>
  <c r="R912" i="5"/>
  <c r="E753" i="5"/>
  <c r="X753" i="5" s="1"/>
  <c r="I744" i="5"/>
  <c r="F817" i="5"/>
  <c r="F1166" i="5"/>
  <c r="G1282" i="5"/>
  <c r="F1031" i="5"/>
  <c r="J977" i="5"/>
  <c r="J817" i="5"/>
  <c r="E912" i="5"/>
  <c r="X912" i="5" s="1"/>
  <c r="J744" i="5"/>
  <c r="I638" i="5"/>
  <c r="E348" i="5"/>
  <c r="X348" i="5" s="1"/>
  <c r="G817" i="5"/>
  <c r="G1258" i="5"/>
  <c r="J404" i="5"/>
  <c r="I404" i="5"/>
  <c r="H404" i="5"/>
  <c r="E404" i="5"/>
  <c r="X404" i="5" s="1"/>
  <c r="I1263" i="5"/>
  <c r="H1282" i="5"/>
  <c r="H1057" i="5"/>
  <c r="R977" i="5"/>
  <c r="R817" i="5"/>
  <c r="G638" i="5"/>
  <c r="R744" i="5"/>
  <c r="H817" i="5"/>
  <c r="J1282" i="5"/>
  <c r="E1037" i="5"/>
  <c r="X1037" i="5" s="1"/>
  <c r="I1057" i="5"/>
  <c r="E817" i="5"/>
  <c r="X817" i="5" s="1"/>
  <c r="E744" i="5"/>
  <c r="X744" i="5" s="1"/>
  <c r="I663" i="5"/>
  <c r="J348" i="5"/>
  <c r="I1166" i="5"/>
  <c r="G1061" i="5"/>
  <c r="R1282" i="5"/>
  <c r="H1263" i="5"/>
  <c r="J1057" i="5"/>
  <c r="E977" i="5"/>
  <c r="X977" i="5" s="1"/>
  <c r="J829" i="5"/>
  <c r="J663" i="5"/>
  <c r="R218" i="5"/>
  <c r="F1258" i="5"/>
  <c r="E1282" i="5"/>
  <c r="X1282" i="5" s="1"/>
  <c r="J1263" i="5"/>
  <c r="R1057" i="5"/>
  <c r="H1037" i="5"/>
  <c r="F977" i="5"/>
  <c r="R829" i="5"/>
  <c r="H912" i="5"/>
  <c r="F744" i="5"/>
  <c r="R663" i="5"/>
  <c r="G542" i="5"/>
  <c r="R1263" i="5"/>
  <c r="I1037" i="5"/>
  <c r="E829" i="5"/>
  <c r="X829" i="5" s="1"/>
  <c r="I912" i="5"/>
  <c r="E663" i="5"/>
  <c r="X663" i="5" s="1"/>
  <c r="I348" i="5"/>
  <c r="R348" i="5"/>
  <c r="G1166" i="5"/>
  <c r="E1342" i="5"/>
  <c r="X1342" i="5" s="1"/>
  <c r="J1342" i="5"/>
  <c r="G573" i="5"/>
  <c r="F573" i="5"/>
  <c r="I1082" i="5"/>
  <c r="R1082" i="5"/>
  <c r="J1082" i="5"/>
  <c r="H1082" i="5"/>
  <c r="F1082" i="5"/>
  <c r="E1082" i="5"/>
  <c r="X1082" i="5" s="1"/>
  <c r="G348" i="5"/>
  <c r="R90" i="5"/>
  <c r="I1142" i="5"/>
  <c r="R1142" i="5"/>
  <c r="J1142" i="5"/>
  <c r="I1092" i="5"/>
  <c r="J1092" i="5"/>
  <c r="G1142" i="5"/>
  <c r="G1037" i="5"/>
  <c r="G647" i="5"/>
  <c r="G550" i="5"/>
  <c r="H403" i="5"/>
  <c r="R403" i="5"/>
  <c r="F1142" i="5"/>
  <c r="E1142" i="5"/>
  <c r="X1142" i="5" s="1"/>
  <c r="I1076" i="5"/>
  <c r="R1076" i="5"/>
  <c r="J1076" i="5"/>
  <c r="R221" i="5"/>
  <c r="R158" i="5"/>
  <c r="J638" i="5"/>
  <c r="I387" i="5"/>
  <c r="H1142" i="5"/>
  <c r="I1274" i="5"/>
  <c r="F1274" i="5"/>
  <c r="I1130" i="5"/>
  <c r="R1130" i="5"/>
  <c r="J1130" i="5"/>
  <c r="H1130" i="5"/>
  <c r="G1076" i="5"/>
  <c r="I1134" i="5"/>
  <c r="J1134" i="5"/>
  <c r="G369" i="5"/>
  <c r="R106" i="5"/>
  <c r="R18" i="5"/>
  <c r="R229" i="5"/>
  <c r="R245" i="5"/>
  <c r="J387" i="5"/>
  <c r="G565" i="5"/>
  <c r="G844" i="5"/>
  <c r="G1092" i="5"/>
  <c r="E1066" i="5"/>
  <c r="X1066" i="5" s="1"/>
  <c r="I1066" i="5"/>
  <c r="H1066" i="5"/>
  <c r="I728" i="5"/>
  <c r="F728" i="5"/>
  <c r="G1134" i="5"/>
  <c r="I510" i="5"/>
  <c r="F510" i="5"/>
  <c r="R154" i="5"/>
  <c r="I1090" i="5"/>
  <c r="R1090" i="5"/>
  <c r="J1090" i="5"/>
  <c r="H1090" i="5"/>
  <c r="F1090" i="5"/>
  <c r="J1258" i="5"/>
  <c r="I1258" i="5"/>
  <c r="E1258" i="5"/>
  <c r="X1258" i="5" s="1"/>
  <c r="R6" i="5"/>
  <c r="E1211" i="5"/>
  <c r="X1211" i="5" s="1"/>
  <c r="I1211" i="5"/>
  <c r="J1211" i="5"/>
  <c r="H1211" i="5"/>
  <c r="F1211" i="5"/>
  <c r="I1038" i="5"/>
  <c r="H1038" i="5"/>
  <c r="F1038" i="5"/>
  <c r="R753" i="5"/>
  <c r="I753" i="5"/>
  <c r="H813" i="5"/>
  <c r="I813" i="5"/>
  <c r="E574" i="5"/>
  <c r="X574" i="5" s="1"/>
  <c r="F574" i="5"/>
  <c r="I574" i="5"/>
  <c r="H574" i="5"/>
  <c r="E590" i="5"/>
  <c r="X590" i="5" s="1"/>
  <c r="I590" i="5"/>
  <c r="H590" i="5"/>
  <c r="F590" i="5"/>
  <c r="G541" i="5"/>
  <c r="F541" i="5"/>
  <c r="J385" i="5"/>
  <c r="R385" i="5"/>
  <c r="E522" i="5"/>
  <c r="X522" i="5" s="1"/>
  <c r="I522" i="5"/>
  <c r="H522" i="5"/>
  <c r="F522" i="5"/>
  <c r="R78" i="5"/>
  <c r="E1207" i="5"/>
  <c r="X1207" i="5" s="1"/>
  <c r="I1207" i="5"/>
  <c r="J1207" i="5"/>
  <c r="H1207" i="5"/>
  <c r="F1207" i="5"/>
  <c r="R1102" i="5"/>
  <c r="J1102" i="5"/>
  <c r="H1102" i="5"/>
  <c r="F1102" i="5"/>
  <c r="E1058" i="5"/>
  <c r="X1058" i="5" s="1"/>
  <c r="I1058" i="5"/>
  <c r="H1058" i="5"/>
  <c r="F1058" i="5"/>
  <c r="I1042" i="5"/>
  <c r="H1042" i="5"/>
  <c r="F1042" i="5"/>
  <c r="G921" i="5"/>
  <c r="I921" i="5"/>
  <c r="H921" i="5"/>
  <c r="F921" i="5"/>
  <c r="E946" i="5"/>
  <c r="X946" i="5" s="1"/>
  <c r="F946" i="5"/>
  <c r="R371" i="5"/>
  <c r="H371" i="5"/>
  <c r="G509" i="5"/>
  <c r="F509" i="5"/>
  <c r="G601" i="5"/>
  <c r="G688" i="5"/>
  <c r="R212" i="5"/>
  <c r="H1294" i="5"/>
  <c r="F1294" i="5"/>
  <c r="G1170" i="5"/>
  <c r="I1050" i="5"/>
  <c r="F1050" i="5"/>
  <c r="I1161" i="5"/>
  <c r="R1161" i="5"/>
  <c r="H1161" i="5"/>
  <c r="F1161" i="5"/>
  <c r="E1161" i="5"/>
  <c r="X1161" i="5" s="1"/>
  <c r="F1057" i="5"/>
  <c r="E1057" i="5"/>
  <c r="X1057" i="5" s="1"/>
  <c r="E1114" i="5"/>
  <c r="X1114" i="5" s="1"/>
  <c r="R1114" i="5"/>
  <c r="J1114" i="5"/>
  <c r="H1114" i="5"/>
  <c r="F1114" i="5"/>
  <c r="G753" i="5"/>
  <c r="H1010" i="5"/>
  <c r="F1010" i="5"/>
  <c r="I1010" i="5"/>
  <c r="I829" i="5"/>
  <c r="H829" i="5"/>
  <c r="F829" i="5"/>
  <c r="F638" i="5"/>
  <c r="E638" i="5"/>
  <c r="X638" i="5" s="1"/>
  <c r="H638" i="5"/>
  <c r="G529" i="5"/>
  <c r="R280" i="5"/>
  <c r="R194" i="5"/>
  <c r="R166" i="5"/>
  <c r="R208" i="5"/>
  <c r="R205" i="5"/>
  <c r="G893" i="5"/>
  <c r="I893" i="5"/>
  <c r="H893" i="5"/>
  <c r="F893" i="5"/>
  <c r="G732" i="5"/>
  <c r="E534" i="5"/>
  <c r="X534" i="5" s="1"/>
  <c r="F534" i="5"/>
  <c r="I534" i="5"/>
  <c r="H534" i="5"/>
  <c r="G574" i="5"/>
  <c r="R336" i="5"/>
  <c r="R176" i="5"/>
  <c r="R192" i="5"/>
  <c r="R66" i="5"/>
  <c r="I1034" i="5"/>
  <c r="H1034" i="5"/>
  <c r="G1034" i="5"/>
  <c r="J1178" i="5"/>
  <c r="G1178" i="5"/>
  <c r="E1110" i="5"/>
  <c r="X1110" i="5" s="1"/>
  <c r="R1110" i="5"/>
  <c r="J1110" i="5"/>
  <c r="H1110" i="5"/>
  <c r="F1110" i="5"/>
  <c r="E518" i="5"/>
  <c r="X518" i="5" s="1"/>
  <c r="F518" i="5"/>
  <c r="I518" i="5"/>
  <c r="H518" i="5"/>
  <c r="J631" i="5"/>
  <c r="H631" i="5"/>
  <c r="G631" i="5"/>
  <c r="R387" i="5"/>
  <c r="H387" i="5"/>
  <c r="F387" i="5"/>
  <c r="R202" i="5"/>
  <c r="R126" i="5"/>
  <c r="I1109" i="5"/>
  <c r="H1109" i="5"/>
  <c r="E1109" i="5"/>
  <c r="X1109" i="5" s="1"/>
  <c r="F1109" i="5"/>
  <c r="G1211" i="5"/>
  <c r="F1331" i="5"/>
  <c r="H1331" i="5"/>
  <c r="E1331" i="5"/>
  <c r="X1331" i="5" s="1"/>
  <c r="I1331" i="5"/>
  <c r="G993" i="5"/>
  <c r="E993" i="5"/>
  <c r="X993" i="5" s="1"/>
  <c r="F1195" i="5"/>
  <c r="I1195" i="5"/>
  <c r="H1195" i="5"/>
  <c r="E954" i="5"/>
  <c r="X954" i="5" s="1"/>
  <c r="F954" i="5"/>
  <c r="J818" i="5"/>
  <c r="I818" i="5"/>
  <c r="H818" i="5"/>
  <c r="F818" i="5"/>
  <c r="E818" i="5"/>
  <c r="X818" i="5" s="1"/>
  <c r="R818" i="5"/>
  <c r="E530" i="5"/>
  <c r="X530" i="5" s="1"/>
  <c r="I530" i="5"/>
  <c r="H530" i="5"/>
  <c r="F530" i="5"/>
  <c r="R220" i="5"/>
  <c r="G1207" i="5"/>
  <c r="H1234" i="5"/>
  <c r="F1234" i="5"/>
  <c r="E1234" i="5"/>
  <c r="X1234" i="5" s="1"/>
  <c r="R1234" i="5"/>
  <c r="J1234" i="5"/>
  <c r="I1234" i="5"/>
  <c r="F1041" i="5"/>
  <c r="E1041" i="5"/>
  <c r="X1041" i="5" s="1"/>
  <c r="E602" i="5"/>
  <c r="X602" i="5" s="1"/>
  <c r="I602" i="5"/>
  <c r="H602" i="5"/>
  <c r="F602" i="5"/>
  <c r="E570" i="5"/>
  <c r="X570" i="5" s="1"/>
  <c r="I570" i="5"/>
  <c r="H570" i="5"/>
  <c r="F570" i="5"/>
  <c r="E1203" i="5"/>
  <c r="X1203" i="5" s="1"/>
  <c r="I1203" i="5"/>
  <c r="F1203" i="5"/>
  <c r="H1203" i="5"/>
  <c r="J1203" i="5"/>
  <c r="J1187" i="5"/>
  <c r="I1187" i="5"/>
  <c r="G1187" i="5"/>
  <c r="G1038" i="5"/>
  <c r="R1031" i="5"/>
  <c r="J1031" i="5"/>
  <c r="I1031" i="5"/>
  <c r="H1031" i="5"/>
  <c r="G888" i="5"/>
  <c r="G954" i="5"/>
  <c r="G836" i="5"/>
  <c r="R777" i="5"/>
  <c r="I777" i="5"/>
  <c r="G561" i="5"/>
  <c r="G590" i="5"/>
  <c r="E546" i="5"/>
  <c r="X546" i="5" s="1"/>
  <c r="I546" i="5"/>
  <c r="H546" i="5"/>
  <c r="F546" i="5"/>
  <c r="G385" i="5"/>
  <c r="E578" i="5"/>
  <c r="X578" i="5" s="1"/>
  <c r="I578" i="5"/>
  <c r="H578" i="5"/>
  <c r="F578" i="5"/>
  <c r="G522" i="5"/>
  <c r="F26" i="6"/>
  <c r="F67" i="6" s="1"/>
  <c r="B52" i="6"/>
  <c r="G52" i="6" s="1"/>
  <c r="B37" i="6"/>
  <c r="G37" i="6" s="1"/>
  <c r="B42" i="6"/>
  <c r="G42" i="6" s="1"/>
  <c r="B40" i="6"/>
  <c r="G40" i="6" s="1"/>
  <c r="B50" i="6"/>
  <c r="G50" i="6" s="1"/>
  <c r="B25" i="6"/>
  <c r="G25" i="6" s="1"/>
  <c r="B35" i="6"/>
  <c r="G35" i="6" s="1"/>
  <c r="B39" i="6"/>
  <c r="G39" i="6" s="1"/>
  <c r="F24" i="6"/>
  <c r="C14" i="6"/>
  <c r="B44" i="6"/>
  <c r="G44" i="6" s="1"/>
  <c r="G32" i="6"/>
  <c r="B49" i="6"/>
  <c r="G49" i="6" s="1"/>
  <c r="B34" i="6"/>
  <c r="G34" i="6" s="1"/>
  <c r="B29" i="6"/>
  <c r="G29" i="6" s="1"/>
  <c r="B24" i="6"/>
  <c r="G24" i="6" s="1"/>
  <c r="G19" i="6"/>
  <c r="H19" i="6" s="1"/>
  <c r="F1303" i="5"/>
  <c r="E1303" i="5"/>
  <c r="X1303" i="5" s="1"/>
  <c r="R1303" i="5"/>
  <c r="J1303" i="5"/>
  <c r="I1303" i="5"/>
  <c r="H1303" i="5"/>
  <c r="D5" i="6"/>
  <c r="C5" i="6"/>
  <c r="F1323" i="5"/>
  <c r="H1323" i="5"/>
  <c r="E1323" i="5"/>
  <c r="X1323" i="5" s="1"/>
  <c r="J1323" i="5"/>
  <c r="I1323" i="5"/>
  <c r="R1323" i="5"/>
  <c r="G22" i="6"/>
  <c r="B47" i="6"/>
  <c r="G47" i="6" s="1"/>
  <c r="J1381" i="5"/>
  <c r="I1381" i="5"/>
  <c r="H1381" i="5"/>
  <c r="R1381" i="5"/>
  <c r="F1381" i="5"/>
  <c r="E1381" i="5"/>
  <c r="X1381" i="5" s="1"/>
  <c r="F1311" i="5"/>
  <c r="R1311" i="5"/>
  <c r="J1311" i="5"/>
  <c r="I1311" i="5"/>
  <c r="H1311" i="5"/>
  <c r="E1311" i="5"/>
  <c r="X1311" i="5" s="1"/>
  <c r="H1336" i="5"/>
  <c r="R1336" i="5"/>
  <c r="J1336" i="5"/>
  <c r="I1336" i="5"/>
  <c r="F1336" i="5"/>
  <c r="E1336" i="5"/>
  <c r="X1336" i="5" s="1"/>
  <c r="I1276" i="5"/>
  <c r="H1276" i="5"/>
  <c r="F1276" i="5"/>
  <c r="R1276" i="5"/>
  <c r="J1276" i="5"/>
  <c r="E1276" i="5"/>
  <c r="X1276" i="5" s="1"/>
  <c r="J1269" i="5"/>
  <c r="I1269" i="5"/>
  <c r="R1269" i="5"/>
  <c r="H1269" i="5"/>
  <c r="F1269" i="5"/>
  <c r="E1269" i="5"/>
  <c r="X1269" i="5" s="1"/>
  <c r="H1246" i="5"/>
  <c r="F1246" i="5"/>
  <c r="J1246" i="5"/>
  <c r="I1246" i="5"/>
  <c r="E1246" i="5"/>
  <c r="X1246" i="5" s="1"/>
  <c r="R1246" i="5"/>
  <c r="H1260" i="5"/>
  <c r="J1260" i="5"/>
  <c r="R1260" i="5"/>
  <c r="I1260" i="5"/>
  <c r="F1260" i="5"/>
  <c r="E1260" i="5"/>
  <c r="X1260" i="5" s="1"/>
  <c r="F1196" i="5"/>
  <c r="E1196" i="5"/>
  <c r="X1196" i="5" s="1"/>
  <c r="I1196" i="5"/>
  <c r="J1196" i="5"/>
  <c r="H1196" i="5"/>
  <c r="R1196" i="5"/>
  <c r="R1156" i="5"/>
  <c r="F1156" i="5"/>
  <c r="E1156" i="5"/>
  <c r="X1156" i="5" s="1"/>
  <c r="J1156" i="5"/>
  <c r="I1156" i="5"/>
  <c r="H1156" i="5"/>
  <c r="R1149" i="5"/>
  <c r="J1149" i="5"/>
  <c r="I1149" i="5"/>
  <c r="H1149" i="5"/>
  <c r="E1149" i="5"/>
  <c r="X1149" i="5" s="1"/>
  <c r="F1149" i="5"/>
  <c r="J1077" i="5"/>
  <c r="E1077" i="5"/>
  <c r="X1077" i="5" s="1"/>
  <c r="R1077" i="5"/>
  <c r="I1077" i="5"/>
  <c r="H1077" i="5"/>
  <c r="F1077" i="5"/>
  <c r="H1131" i="5"/>
  <c r="F1131" i="5"/>
  <c r="E1131" i="5"/>
  <c r="X1131" i="5" s="1"/>
  <c r="R1131" i="5"/>
  <c r="J1131" i="5"/>
  <c r="I1131" i="5"/>
  <c r="H1135" i="5"/>
  <c r="F1135" i="5"/>
  <c r="E1135" i="5"/>
  <c r="X1135" i="5" s="1"/>
  <c r="R1135" i="5"/>
  <c r="J1135" i="5"/>
  <c r="I1135" i="5"/>
  <c r="R1147" i="5"/>
  <c r="J1147" i="5"/>
  <c r="I1147" i="5"/>
  <c r="H1147" i="5"/>
  <c r="F1147" i="5"/>
  <c r="E1147" i="5"/>
  <c r="X1147" i="5" s="1"/>
  <c r="J1064" i="5"/>
  <c r="I1064" i="5"/>
  <c r="H1064" i="5"/>
  <c r="F1064" i="5"/>
  <c r="R1064" i="5"/>
  <c r="E1064" i="5"/>
  <c r="X1064" i="5" s="1"/>
  <c r="I1032" i="5"/>
  <c r="H1032" i="5"/>
  <c r="F1032" i="5"/>
  <c r="R1032" i="5"/>
  <c r="J1032" i="5"/>
  <c r="E1032" i="5"/>
  <c r="X1032" i="5" s="1"/>
  <c r="F1083" i="5"/>
  <c r="R1083" i="5"/>
  <c r="J1083" i="5"/>
  <c r="I1083" i="5"/>
  <c r="H1083" i="5"/>
  <c r="E1083" i="5"/>
  <c r="X1083" i="5" s="1"/>
  <c r="F1075" i="5"/>
  <c r="R1075" i="5"/>
  <c r="J1075" i="5"/>
  <c r="I1075" i="5"/>
  <c r="H1075" i="5"/>
  <c r="E1075" i="5"/>
  <c r="X1075" i="5" s="1"/>
  <c r="J1056" i="5"/>
  <c r="I1056" i="5"/>
  <c r="H1056" i="5"/>
  <c r="F1056" i="5"/>
  <c r="R1056" i="5"/>
  <c r="E1056" i="5"/>
  <c r="X1056" i="5" s="1"/>
  <c r="F943" i="5"/>
  <c r="E943" i="5"/>
  <c r="X943" i="5" s="1"/>
  <c r="R943" i="5"/>
  <c r="J943" i="5"/>
  <c r="I943" i="5"/>
  <c r="H943" i="5"/>
  <c r="R1053" i="5"/>
  <c r="J1053" i="5"/>
  <c r="I1053" i="5"/>
  <c r="H1053" i="5"/>
  <c r="F1053" i="5"/>
  <c r="E1053" i="5"/>
  <c r="X1053" i="5" s="1"/>
  <c r="I940" i="5"/>
  <c r="H940" i="5"/>
  <c r="G940" i="5"/>
  <c r="F940" i="5"/>
  <c r="E940" i="5"/>
  <c r="X940" i="5" s="1"/>
  <c r="R940" i="5"/>
  <c r="J940" i="5"/>
  <c r="J992" i="5"/>
  <c r="I992" i="5"/>
  <c r="H992" i="5"/>
  <c r="F992" i="5"/>
  <c r="R992" i="5"/>
  <c r="E992" i="5"/>
  <c r="X992" i="5" s="1"/>
  <c r="I1048" i="5"/>
  <c r="H1048" i="5"/>
  <c r="F1048" i="5"/>
  <c r="R1048" i="5"/>
  <c r="J1048" i="5"/>
  <c r="E1048" i="5"/>
  <c r="X1048" i="5" s="1"/>
  <c r="I803" i="5"/>
  <c r="H803" i="5"/>
  <c r="F803" i="5"/>
  <c r="R803" i="5"/>
  <c r="J803" i="5"/>
  <c r="E803" i="5"/>
  <c r="X803" i="5" s="1"/>
  <c r="R915" i="5"/>
  <c r="J915" i="5"/>
  <c r="I915" i="5"/>
  <c r="H915" i="5"/>
  <c r="F915" i="5"/>
  <c r="E915" i="5"/>
  <c r="X915" i="5" s="1"/>
  <c r="R851" i="5"/>
  <c r="J851" i="5"/>
  <c r="I851" i="5"/>
  <c r="H851" i="5"/>
  <c r="F851" i="5"/>
  <c r="E851" i="5"/>
  <c r="X851" i="5" s="1"/>
  <c r="F729" i="5"/>
  <c r="E729" i="5"/>
  <c r="X729" i="5" s="1"/>
  <c r="J729" i="5"/>
  <c r="R729" i="5"/>
  <c r="I729" i="5"/>
  <c r="H729" i="5"/>
  <c r="R895" i="5"/>
  <c r="J895" i="5"/>
  <c r="I895" i="5"/>
  <c r="H895" i="5"/>
  <c r="F895" i="5"/>
  <c r="E895" i="5"/>
  <c r="X895" i="5" s="1"/>
  <c r="R875" i="5"/>
  <c r="J875" i="5"/>
  <c r="I875" i="5"/>
  <c r="H875" i="5"/>
  <c r="F875" i="5"/>
  <c r="E875" i="5"/>
  <c r="X875" i="5" s="1"/>
  <c r="I722" i="5"/>
  <c r="H722" i="5"/>
  <c r="F722" i="5"/>
  <c r="R722" i="5"/>
  <c r="J722" i="5"/>
  <c r="E722" i="5"/>
  <c r="X722" i="5" s="1"/>
  <c r="R855" i="5"/>
  <c r="J855" i="5"/>
  <c r="I855" i="5"/>
  <c r="H855" i="5"/>
  <c r="F855" i="5"/>
  <c r="E855" i="5"/>
  <c r="X855" i="5" s="1"/>
  <c r="R923" i="5"/>
  <c r="J923" i="5"/>
  <c r="I923" i="5"/>
  <c r="H923" i="5"/>
  <c r="F923" i="5"/>
  <c r="E923" i="5"/>
  <c r="X923" i="5" s="1"/>
  <c r="H660" i="5"/>
  <c r="F660" i="5"/>
  <c r="E660" i="5"/>
  <c r="X660" i="5" s="1"/>
  <c r="R660" i="5"/>
  <c r="J660" i="5"/>
  <c r="I660" i="5"/>
  <c r="R703" i="5"/>
  <c r="I703" i="5"/>
  <c r="H703" i="5"/>
  <c r="F703" i="5"/>
  <c r="E703" i="5"/>
  <c r="X703" i="5" s="1"/>
  <c r="J703" i="5"/>
  <c r="I710" i="5"/>
  <c r="R710" i="5"/>
  <c r="J710" i="5"/>
  <c r="H710" i="5"/>
  <c r="F710" i="5"/>
  <c r="E710" i="5"/>
  <c r="X710" i="5" s="1"/>
  <c r="I791" i="5"/>
  <c r="H791" i="5"/>
  <c r="F791" i="5"/>
  <c r="R791" i="5"/>
  <c r="J791" i="5"/>
  <c r="E791" i="5"/>
  <c r="X791" i="5" s="1"/>
  <c r="R614" i="5"/>
  <c r="H614" i="5"/>
  <c r="F614" i="5"/>
  <c r="E614" i="5"/>
  <c r="X614" i="5" s="1"/>
  <c r="J614" i="5"/>
  <c r="I614" i="5"/>
  <c r="F427" i="5"/>
  <c r="H427" i="5"/>
  <c r="E427" i="5"/>
  <c r="X427" i="5" s="1"/>
  <c r="R427" i="5"/>
  <c r="J427" i="5"/>
  <c r="I427" i="5"/>
  <c r="R624" i="5"/>
  <c r="J624" i="5"/>
  <c r="I624" i="5"/>
  <c r="H624" i="5"/>
  <c r="F624" i="5"/>
  <c r="E624" i="5"/>
  <c r="X624" i="5" s="1"/>
  <c r="R548" i="5"/>
  <c r="J548" i="5"/>
  <c r="I548" i="5"/>
  <c r="H548" i="5"/>
  <c r="F548" i="5"/>
  <c r="E548" i="5"/>
  <c r="X548" i="5" s="1"/>
  <c r="R429" i="5"/>
  <c r="J429" i="5"/>
  <c r="H429" i="5"/>
  <c r="I429" i="5"/>
  <c r="E429" i="5"/>
  <c r="X429" i="5" s="1"/>
  <c r="G429" i="5"/>
  <c r="F429" i="5"/>
  <c r="R544" i="5"/>
  <c r="J544" i="5"/>
  <c r="I544" i="5"/>
  <c r="H544" i="5"/>
  <c r="F544" i="5"/>
  <c r="E544" i="5"/>
  <c r="X544" i="5" s="1"/>
  <c r="I702" i="5"/>
  <c r="R702" i="5"/>
  <c r="J702" i="5"/>
  <c r="H702" i="5"/>
  <c r="F702" i="5"/>
  <c r="E702" i="5"/>
  <c r="X702" i="5" s="1"/>
  <c r="R532" i="5"/>
  <c r="J532" i="5"/>
  <c r="I532" i="5"/>
  <c r="H532" i="5"/>
  <c r="F532" i="5"/>
  <c r="E532" i="5"/>
  <c r="X532" i="5" s="1"/>
  <c r="I492" i="5"/>
  <c r="H492" i="5"/>
  <c r="F492" i="5"/>
  <c r="R492" i="5"/>
  <c r="J492" i="5"/>
  <c r="E492" i="5"/>
  <c r="X492" i="5" s="1"/>
  <c r="I460" i="5"/>
  <c r="H460" i="5"/>
  <c r="F460" i="5"/>
  <c r="R460" i="5"/>
  <c r="J460" i="5"/>
  <c r="E460" i="5"/>
  <c r="X460" i="5" s="1"/>
  <c r="H353" i="5"/>
  <c r="F353" i="5"/>
  <c r="E353" i="5"/>
  <c r="X353" i="5" s="1"/>
  <c r="J353" i="5"/>
  <c r="I353" i="5"/>
  <c r="R353" i="5"/>
  <c r="R481" i="5"/>
  <c r="J481" i="5"/>
  <c r="I481" i="5"/>
  <c r="H481" i="5"/>
  <c r="F481" i="5"/>
  <c r="E481" i="5"/>
  <c r="X481" i="5" s="1"/>
  <c r="R564" i="5"/>
  <c r="J564" i="5"/>
  <c r="I564" i="5"/>
  <c r="H564" i="5"/>
  <c r="F564" i="5"/>
  <c r="E564" i="5"/>
  <c r="X564" i="5" s="1"/>
  <c r="R461" i="5"/>
  <c r="J461" i="5"/>
  <c r="I461" i="5"/>
  <c r="H461" i="5"/>
  <c r="F461" i="5"/>
  <c r="E461" i="5"/>
  <c r="X461" i="5" s="1"/>
  <c r="R469" i="5"/>
  <c r="J469" i="5"/>
  <c r="I469" i="5"/>
  <c r="H469" i="5"/>
  <c r="F469" i="5"/>
  <c r="E469" i="5"/>
  <c r="X469" i="5" s="1"/>
  <c r="R394" i="5"/>
  <c r="J394" i="5"/>
  <c r="H394" i="5"/>
  <c r="I394" i="5"/>
  <c r="F394" i="5"/>
  <c r="E394" i="5"/>
  <c r="X394" i="5" s="1"/>
  <c r="J354" i="5"/>
  <c r="H354" i="5"/>
  <c r="I354" i="5"/>
  <c r="F354" i="5"/>
  <c r="R354" i="5"/>
  <c r="E354" i="5"/>
  <c r="X354" i="5" s="1"/>
  <c r="R293" i="5"/>
  <c r="R255" i="5"/>
  <c r="R309" i="5"/>
  <c r="R289" i="5"/>
  <c r="R270" i="5"/>
  <c r="R239" i="5"/>
  <c r="R215" i="5"/>
  <c r="R207" i="5"/>
  <c r="R199" i="5"/>
  <c r="R191" i="5"/>
  <c r="R183" i="5"/>
  <c r="R175" i="5"/>
  <c r="R167" i="5"/>
  <c r="R159" i="5"/>
  <c r="R151" i="5"/>
  <c r="R143" i="5"/>
  <c r="R47" i="5"/>
  <c r="R317" i="5"/>
  <c r="R119" i="5"/>
  <c r="R31" i="5"/>
  <c r="R19" i="5"/>
  <c r="D74" i="4"/>
  <c r="D37" i="4"/>
  <c r="D61" i="4"/>
  <c r="D43" i="4"/>
  <c r="D49" i="4"/>
  <c r="D31" i="4"/>
  <c r="D67" i="4"/>
  <c r="D55" i="4"/>
  <c r="A17" i="6"/>
  <c r="B35" i="4"/>
  <c r="A22" i="6" s="1"/>
  <c r="B46" i="6"/>
  <c r="G46" i="6" s="1"/>
  <c r="B26" i="6"/>
  <c r="G26" i="6" s="1"/>
  <c r="G21" i="6"/>
  <c r="H21" i="6" s="1"/>
  <c r="B36" i="6"/>
  <c r="G36" i="6" s="1"/>
  <c r="G20" i="6"/>
  <c r="H20" i="6" s="1"/>
  <c r="B45" i="6"/>
  <c r="G45" i="6" s="1"/>
  <c r="D17" i="6"/>
  <c r="C17" i="6"/>
  <c r="H1316" i="5"/>
  <c r="F1316" i="5"/>
  <c r="E1316" i="5"/>
  <c r="X1316" i="5" s="1"/>
  <c r="G1316" i="5"/>
  <c r="R1316" i="5"/>
  <c r="J1316" i="5"/>
  <c r="I1316" i="5"/>
  <c r="F1291" i="5"/>
  <c r="E1291" i="5"/>
  <c r="X1291" i="5" s="1"/>
  <c r="R1291" i="5"/>
  <c r="J1291" i="5"/>
  <c r="I1291" i="5"/>
  <c r="H1291" i="5"/>
  <c r="J1325" i="5"/>
  <c r="F1325" i="5"/>
  <c r="E1325" i="5"/>
  <c r="X1325" i="5" s="1"/>
  <c r="I1325" i="5"/>
  <c r="H1325" i="5"/>
  <c r="R1325" i="5"/>
  <c r="B27" i="6"/>
  <c r="G27" i="6" s="1"/>
  <c r="I1304" i="5"/>
  <c r="H1304" i="5"/>
  <c r="F1304" i="5"/>
  <c r="E1304" i="5"/>
  <c r="X1304" i="5" s="1"/>
  <c r="R1304" i="5"/>
  <c r="J1304" i="5"/>
  <c r="J1255" i="5"/>
  <c r="H1255" i="5"/>
  <c r="F1255" i="5"/>
  <c r="E1255" i="5"/>
  <c r="X1255" i="5" s="1"/>
  <c r="R1255" i="5"/>
  <c r="G1255" i="5"/>
  <c r="I1255" i="5"/>
  <c r="F1164" i="5"/>
  <c r="R1164" i="5"/>
  <c r="I1164" i="5"/>
  <c r="J1164" i="5"/>
  <c r="H1164" i="5"/>
  <c r="E1164" i="5"/>
  <c r="X1164" i="5" s="1"/>
  <c r="J1069" i="5"/>
  <c r="E1069" i="5"/>
  <c r="X1069" i="5" s="1"/>
  <c r="R1069" i="5"/>
  <c r="I1069" i="5"/>
  <c r="H1069" i="5"/>
  <c r="F1069" i="5"/>
  <c r="I1012" i="5"/>
  <c r="H1012" i="5"/>
  <c r="F1012" i="5"/>
  <c r="R1012" i="5"/>
  <c r="E1012" i="5"/>
  <c r="X1012" i="5" s="1"/>
  <c r="J1012" i="5"/>
  <c r="H1143" i="5"/>
  <c r="F1143" i="5"/>
  <c r="E1143" i="5"/>
  <c r="X1143" i="5" s="1"/>
  <c r="R1143" i="5"/>
  <c r="J1143" i="5"/>
  <c r="I1143" i="5"/>
  <c r="F1099" i="5"/>
  <c r="R1099" i="5"/>
  <c r="J1099" i="5"/>
  <c r="I1099" i="5"/>
  <c r="H1099" i="5"/>
  <c r="E1099" i="5"/>
  <c r="X1099" i="5" s="1"/>
  <c r="R1049" i="5"/>
  <c r="J1049" i="5"/>
  <c r="I1049" i="5"/>
  <c r="H1049" i="5"/>
  <c r="F1049" i="5"/>
  <c r="E1049" i="5"/>
  <c r="X1049" i="5" s="1"/>
  <c r="H991" i="5"/>
  <c r="F991" i="5"/>
  <c r="E991" i="5"/>
  <c r="X991" i="5" s="1"/>
  <c r="J991" i="5"/>
  <c r="I991" i="5"/>
  <c r="R991" i="5"/>
  <c r="F975" i="5"/>
  <c r="E975" i="5"/>
  <c r="X975" i="5" s="1"/>
  <c r="I975" i="5"/>
  <c r="H975" i="5"/>
  <c r="R975" i="5"/>
  <c r="J975" i="5"/>
  <c r="I1028" i="5"/>
  <c r="H1028" i="5"/>
  <c r="F1028" i="5"/>
  <c r="R1028" i="5"/>
  <c r="J1028" i="5"/>
  <c r="E1028" i="5"/>
  <c r="X1028" i="5" s="1"/>
  <c r="H1115" i="5"/>
  <c r="F1115" i="5"/>
  <c r="E1115" i="5"/>
  <c r="X1115" i="5" s="1"/>
  <c r="R1115" i="5"/>
  <c r="J1115" i="5"/>
  <c r="I1115" i="5"/>
  <c r="F963" i="5"/>
  <c r="E963" i="5"/>
  <c r="X963" i="5" s="1"/>
  <c r="R963" i="5"/>
  <c r="J963" i="5"/>
  <c r="I963" i="5"/>
  <c r="H963" i="5"/>
  <c r="I968" i="5"/>
  <c r="H968" i="5"/>
  <c r="F968" i="5"/>
  <c r="R968" i="5"/>
  <c r="J968" i="5"/>
  <c r="E968" i="5"/>
  <c r="X968" i="5" s="1"/>
  <c r="I932" i="5"/>
  <c r="H932" i="5"/>
  <c r="G932" i="5"/>
  <c r="F932" i="5"/>
  <c r="E932" i="5"/>
  <c r="X932" i="5" s="1"/>
  <c r="R932" i="5"/>
  <c r="J932" i="5"/>
  <c r="I1016" i="5"/>
  <c r="H1016" i="5"/>
  <c r="F1016" i="5"/>
  <c r="R1016" i="5"/>
  <c r="J1016" i="5"/>
  <c r="E1016" i="5"/>
  <c r="X1016" i="5" s="1"/>
  <c r="F955" i="5"/>
  <c r="R955" i="5"/>
  <c r="J955" i="5"/>
  <c r="I955" i="5"/>
  <c r="H955" i="5"/>
  <c r="E955" i="5"/>
  <c r="X955" i="5" s="1"/>
  <c r="F947" i="5"/>
  <c r="R947" i="5"/>
  <c r="J947" i="5"/>
  <c r="I947" i="5"/>
  <c r="H947" i="5"/>
  <c r="E947" i="5"/>
  <c r="X947" i="5" s="1"/>
  <c r="F939" i="5"/>
  <c r="R939" i="5"/>
  <c r="J939" i="5"/>
  <c r="I939" i="5"/>
  <c r="H939" i="5"/>
  <c r="E939" i="5"/>
  <c r="X939" i="5" s="1"/>
  <c r="F931" i="5"/>
  <c r="R931" i="5"/>
  <c r="J931" i="5"/>
  <c r="I931" i="5"/>
  <c r="H931" i="5"/>
  <c r="E931" i="5"/>
  <c r="X931" i="5" s="1"/>
  <c r="R903" i="5"/>
  <c r="J903" i="5"/>
  <c r="I903" i="5"/>
  <c r="H903" i="5"/>
  <c r="F903" i="5"/>
  <c r="E903" i="5"/>
  <c r="X903" i="5" s="1"/>
  <c r="F749" i="5"/>
  <c r="E749" i="5"/>
  <c r="X749" i="5" s="1"/>
  <c r="R749" i="5"/>
  <c r="J749" i="5"/>
  <c r="I749" i="5"/>
  <c r="H749" i="5"/>
  <c r="I811" i="5"/>
  <c r="H811" i="5"/>
  <c r="F811" i="5"/>
  <c r="J811" i="5"/>
  <c r="E811" i="5"/>
  <c r="X811" i="5" s="1"/>
  <c r="R811" i="5"/>
  <c r="R843" i="5"/>
  <c r="J843" i="5"/>
  <c r="I843" i="5"/>
  <c r="H843" i="5"/>
  <c r="F843" i="5"/>
  <c r="E843" i="5"/>
  <c r="X843" i="5" s="1"/>
  <c r="I738" i="5"/>
  <c r="H738" i="5"/>
  <c r="F738" i="5"/>
  <c r="E738" i="5"/>
  <c r="X738" i="5" s="1"/>
  <c r="R738" i="5"/>
  <c r="J738" i="5"/>
  <c r="J1140" i="5"/>
  <c r="I1140" i="5"/>
  <c r="H1140" i="5"/>
  <c r="E1140" i="5"/>
  <c r="X1140" i="5" s="1"/>
  <c r="R1140" i="5"/>
  <c r="F1140" i="5"/>
  <c r="R911" i="5"/>
  <c r="J911" i="5"/>
  <c r="I911" i="5"/>
  <c r="H911" i="5"/>
  <c r="F911" i="5"/>
  <c r="E911" i="5"/>
  <c r="X911" i="5" s="1"/>
  <c r="E696" i="5"/>
  <c r="X696" i="5" s="1"/>
  <c r="R696" i="5"/>
  <c r="F696" i="5"/>
  <c r="J696" i="5"/>
  <c r="I696" i="5"/>
  <c r="H696" i="5"/>
  <c r="H680" i="5"/>
  <c r="F680" i="5"/>
  <c r="E680" i="5"/>
  <c r="X680" i="5" s="1"/>
  <c r="R680" i="5"/>
  <c r="J680" i="5"/>
  <c r="I680" i="5"/>
  <c r="H648" i="5"/>
  <c r="F648" i="5"/>
  <c r="E648" i="5"/>
  <c r="X648" i="5" s="1"/>
  <c r="R648" i="5"/>
  <c r="J648" i="5"/>
  <c r="I648" i="5"/>
  <c r="F959" i="5"/>
  <c r="E959" i="5"/>
  <c r="X959" i="5" s="1"/>
  <c r="R959" i="5"/>
  <c r="J959" i="5"/>
  <c r="I959" i="5"/>
  <c r="H959" i="5"/>
  <c r="E757" i="5"/>
  <c r="X757" i="5" s="1"/>
  <c r="J757" i="5"/>
  <c r="R757" i="5"/>
  <c r="I757" i="5"/>
  <c r="H757" i="5"/>
  <c r="F757" i="5"/>
  <c r="H640" i="5"/>
  <c r="F640" i="5"/>
  <c r="E640" i="5"/>
  <c r="X640" i="5" s="1"/>
  <c r="R640" i="5"/>
  <c r="I640" i="5"/>
  <c r="J640" i="5"/>
  <c r="R622" i="5"/>
  <c r="H622" i="5"/>
  <c r="F622" i="5"/>
  <c r="E622" i="5"/>
  <c r="X622" i="5" s="1"/>
  <c r="J622" i="5"/>
  <c r="I622" i="5"/>
  <c r="I599" i="5"/>
  <c r="H599" i="5"/>
  <c r="F599" i="5"/>
  <c r="E599" i="5"/>
  <c r="X599" i="5" s="1"/>
  <c r="J599" i="5"/>
  <c r="R599" i="5"/>
  <c r="I583" i="5"/>
  <c r="H583" i="5"/>
  <c r="F583" i="5"/>
  <c r="E583" i="5"/>
  <c r="X583" i="5" s="1"/>
  <c r="R583" i="5"/>
  <c r="J583" i="5"/>
  <c r="I567" i="5"/>
  <c r="H567" i="5"/>
  <c r="F567" i="5"/>
  <c r="E567" i="5"/>
  <c r="X567" i="5" s="1"/>
  <c r="R567" i="5"/>
  <c r="J567" i="5"/>
  <c r="I551" i="5"/>
  <c r="H551" i="5"/>
  <c r="F551" i="5"/>
  <c r="E551" i="5"/>
  <c r="X551" i="5" s="1"/>
  <c r="R551" i="5"/>
  <c r="J551" i="5"/>
  <c r="I535" i="5"/>
  <c r="H535" i="5"/>
  <c r="F535" i="5"/>
  <c r="E535" i="5"/>
  <c r="X535" i="5" s="1"/>
  <c r="R535" i="5"/>
  <c r="J535" i="5"/>
  <c r="I519" i="5"/>
  <c r="H519" i="5"/>
  <c r="F519" i="5"/>
  <c r="E519" i="5"/>
  <c r="X519" i="5" s="1"/>
  <c r="R519" i="5"/>
  <c r="J519" i="5"/>
  <c r="H503" i="5"/>
  <c r="F503" i="5"/>
  <c r="E503" i="5"/>
  <c r="X503" i="5" s="1"/>
  <c r="R503" i="5"/>
  <c r="J503" i="5"/>
  <c r="I503" i="5"/>
  <c r="F487" i="5"/>
  <c r="E487" i="5"/>
  <c r="X487" i="5" s="1"/>
  <c r="R487" i="5"/>
  <c r="J487" i="5"/>
  <c r="I487" i="5"/>
  <c r="H487" i="5"/>
  <c r="F471" i="5"/>
  <c r="E471" i="5"/>
  <c r="X471" i="5" s="1"/>
  <c r="R471" i="5"/>
  <c r="J471" i="5"/>
  <c r="I471" i="5"/>
  <c r="H471" i="5"/>
  <c r="F455" i="5"/>
  <c r="E455" i="5"/>
  <c r="X455" i="5" s="1"/>
  <c r="R455" i="5"/>
  <c r="J455" i="5"/>
  <c r="I455" i="5"/>
  <c r="H455" i="5"/>
  <c r="F439" i="5"/>
  <c r="E439" i="5"/>
  <c r="X439" i="5" s="1"/>
  <c r="R439" i="5"/>
  <c r="J439" i="5"/>
  <c r="I439" i="5"/>
  <c r="H439" i="5"/>
  <c r="R723" i="5"/>
  <c r="J723" i="5"/>
  <c r="I723" i="5"/>
  <c r="H723" i="5"/>
  <c r="F723" i="5"/>
  <c r="E723" i="5"/>
  <c r="X723" i="5" s="1"/>
  <c r="E619" i="5"/>
  <c r="X619" i="5" s="1"/>
  <c r="I619" i="5"/>
  <c r="J619" i="5"/>
  <c r="H619" i="5"/>
  <c r="F619" i="5"/>
  <c r="R619" i="5"/>
  <c r="R501" i="5"/>
  <c r="J501" i="5"/>
  <c r="I501" i="5"/>
  <c r="H501" i="5"/>
  <c r="F501" i="5"/>
  <c r="E501" i="5"/>
  <c r="X501" i="5" s="1"/>
  <c r="R576" i="5"/>
  <c r="J576" i="5"/>
  <c r="I576" i="5"/>
  <c r="H576" i="5"/>
  <c r="F576" i="5"/>
  <c r="E576" i="5"/>
  <c r="X576" i="5" s="1"/>
  <c r="R540" i="5"/>
  <c r="J540" i="5"/>
  <c r="I540" i="5"/>
  <c r="H540" i="5"/>
  <c r="F540" i="5"/>
  <c r="E540" i="5"/>
  <c r="X540" i="5" s="1"/>
  <c r="R568" i="5"/>
  <c r="J568" i="5"/>
  <c r="I568" i="5"/>
  <c r="H568" i="5"/>
  <c r="F568" i="5"/>
  <c r="E568" i="5"/>
  <c r="X568" i="5" s="1"/>
  <c r="R425" i="5"/>
  <c r="J425" i="5"/>
  <c r="H425" i="5"/>
  <c r="I425" i="5"/>
  <c r="F425" i="5"/>
  <c r="E425" i="5"/>
  <c r="X425" i="5" s="1"/>
  <c r="I488" i="5"/>
  <c r="H488" i="5"/>
  <c r="F488" i="5"/>
  <c r="R488" i="5"/>
  <c r="J488" i="5"/>
  <c r="E488" i="5"/>
  <c r="X488" i="5" s="1"/>
  <c r="I456" i="5"/>
  <c r="H456" i="5"/>
  <c r="F456" i="5"/>
  <c r="R456" i="5"/>
  <c r="J456" i="5"/>
  <c r="E456" i="5"/>
  <c r="X456" i="5" s="1"/>
  <c r="R449" i="5"/>
  <c r="J449" i="5"/>
  <c r="I449" i="5"/>
  <c r="H449" i="5"/>
  <c r="F449" i="5"/>
  <c r="E449" i="5"/>
  <c r="X449" i="5" s="1"/>
  <c r="I405" i="5"/>
  <c r="H405" i="5"/>
  <c r="F405" i="5"/>
  <c r="E405" i="5"/>
  <c r="X405" i="5" s="1"/>
  <c r="R405" i="5"/>
  <c r="J405" i="5"/>
  <c r="G405" i="5"/>
  <c r="J504" i="5"/>
  <c r="I504" i="5"/>
  <c r="H504" i="5"/>
  <c r="F504" i="5"/>
  <c r="E504" i="5"/>
  <c r="X504" i="5" s="1"/>
  <c r="R504" i="5"/>
  <c r="R437" i="5"/>
  <c r="J437" i="5"/>
  <c r="I437" i="5"/>
  <c r="H437" i="5"/>
  <c r="F437" i="5"/>
  <c r="E437" i="5"/>
  <c r="X437" i="5" s="1"/>
  <c r="R313" i="5"/>
  <c r="R277" i="5"/>
  <c r="R99" i="5"/>
  <c r="R243" i="5"/>
  <c r="R135" i="5"/>
  <c r="R91" i="5"/>
  <c r="G61" i="4"/>
  <c r="G31" i="4"/>
  <c r="G49" i="4"/>
  <c r="G43" i="4"/>
  <c r="G37" i="4"/>
  <c r="G67" i="4"/>
  <c r="G74" i="4"/>
  <c r="G55" i="4"/>
  <c r="F1299" i="5"/>
  <c r="E1299" i="5"/>
  <c r="X1299" i="5" s="1"/>
  <c r="R1299" i="5"/>
  <c r="I1299" i="5"/>
  <c r="H1299" i="5"/>
  <c r="J1299" i="5"/>
  <c r="R1273" i="5"/>
  <c r="J1273" i="5"/>
  <c r="I1273" i="5"/>
  <c r="F1273" i="5"/>
  <c r="E1273" i="5"/>
  <c r="X1273" i="5" s="1"/>
  <c r="G1273" i="5"/>
  <c r="H1273" i="5"/>
  <c r="H1208" i="5"/>
  <c r="F1208" i="5"/>
  <c r="E1208" i="5"/>
  <c r="X1208" i="5" s="1"/>
  <c r="R1208" i="5"/>
  <c r="I1208" i="5"/>
  <c r="J1208" i="5"/>
  <c r="H1204" i="5"/>
  <c r="F1204" i="5"/>
  <c r="E1204" i="5"/>
  <c r="X1204" i="5" s="1"/>
  <c r="I1204" i="5"/>
  <c r="R1204" i="5"/>
  <c r="J1204" i="5"/>
  <c r="I1169" i="5"/>
  <c r="J1169" i="5"/>
  <c r="H1169" i="5"/>
  <c r="F1169" i="5"/>
  <c r="E1169" i="5"/>
  <c r="X1169" i="5" s="1"/>
  <c r="R1169" i="5"/>
  <c r="E1167" i="5"/>
  <c r="X1167" i="5" s="1"/>
  <c r="R1167" i="5"/>
  <c r="I1167" i="5"/>
  <c r="J1167" i="5"/>
  <c r="H1167" i="5"/>
  <c r="F1167" i="5"/>
  <c r="H1000" i="5"/>
  <c r="F1000" i="5"/>
  <c r="E1000" i="5"/>
  <c r="X1000" i="5" s="1"/>
  <c r="R1000" i="5"/>
  <c r="J1000" i="5"/>
  <c r="I1000" i="5"/>
  <c r="R1158" i="5"/>
  <c r="I1158" i="5"/>
  <c r="H1158" i="5"/>
  <c r="F1158" i="5"/>
  <c r="E1158" i="5"/>
  <c r="X1158" i="5" s="1"/>
  <c r="J1158" i="5"/>
  <c r="I976" i="5"/>
  <c r="H976" i="5"/>
  <c r="F976" i="5"/>
  <c r="R976" i="5"/>
  <c r="J976" i="5"/>
  <c r="E976" i="5"/>
  <c r="X976" i="5" s="1"/>
  <c r="R835" i="5"/>
  <c r="J835" i="5"/>
  <c r="I835" i="5"/>
  <c r="H835" i="5"/>
  <c r="F835" i="5"/>
  <c r="E835" i="5"/>
  <c r="X835" i="5" s="1"/>
  <c r="I714" i="5"/>
  <c r="F714" i="5"/>
  <c r="E714" i="5"/>
  <c r="X714" i="5" s="1"/>
  <c r="R714" i="5"/>
  <c r="J714" i="5"/>
  <c r="H714" i="5"/>
  <c r="R847" i="5"/>
  <c r="J847" i="5"/>
  <c r="I847" i="5"/>
  <c r="H847" i="5"/>
  <c r="F847" i="5"/>
  <c r="E847" i="5"/>
  <c r="X847" i="5" s="1"/>
  <c r="E765" i="5"/>
  <c r="X765" i="5" s="1"/>
  <c r="J765" i="5"/>
  <c r="R765" i="5"/>
  <c r="I765" i="5"/>
  <c r="H765" i="5"/>
  <c r="F765" i="5"/>
  <c r="J673" i="5"/>
  <c r="I673" i="5"/>
  <c r="H673" i="5"/>
  <c r="F673" i="5"/>
  <c r="E673" i="5"/>
  <c r="X673" i="5" s="1"/>
  <c r="R673" i="5"/>
  <c r="J665" i="5"/>
  <c r="I665" i="5"/>
  <c r="H665" i="5"/>
  <c r="F665" i="5"/>
  <c r="E665" i="5"/>
  <c r="X665" i="5" s="1"/>
  <c r="R665" i="5"/>
  <c r="J657" i="5"/>
  <c r="I657" i="5"/>
  <c r="H657" i="5"/>
  <c r="F657" i="5"/>
  <c r="E657" i="5"/>
  <c r="X657" i="5" s="1"/>
  <c r="R657" i="5"/>
  <c r="I603" i="5"/>
  <c r="H603" i="5"/>
  <c r="F603" i="5"/>
  <c r="E603" i="5"/>
  <c r="X603" i="5" s="1"/>
  <c r="J603" i="5"/>
  <c r="R603" i="5"/>
  <c r="I571" i="5"/>
  <c r="H571" i="5"/>
  <c r="F571" i="5"/>
  <c r="E571" i="5"/>
  <c r="X571" i="5" s="1"/>
  <c r="J571" i="5"/>
  <c r="R571" i="5"/>
  <c r="I523" i="5"/>
  <c r="H523" i="5"/>
  <c r="F523" i="5"/>
  <c r="E523" i="5"/>
  <c r="X523" i="5" s="1"/>
  <c r="R523" i="5"/>
  <c r="J523" i="5"/>
  <c r="F491" i="5"/>
  <c r="E491" i="5"/>
  <c r="X491" i="5" s="1"/>
  <c r="R491" i="5"/>
  <c r="J491" i="5"/>
  <c r="I491" i="5"/>
  <c r="H491" i="5"/>
  <c r="F459" i="5"/>
  <c r="E459" i="5"/>
  <c r="X459" i="5" s="1"/>
  <c r="R459" i="5"/>
  <c r="J459" i="5"/>
  <c r="I459" i="5"/>
  <c r="H459" i="5"/>
  <c r="R536" i="5"/>
  <c r="J536" i="5"/>
  <c r="I536" i="5"/>
  <c r="H536" i="5"/>
  <c r="F536" i="5"/>
  <c r="E536" i="5"/>
  <c r="X536" i="5" s="1"/>
  <c r="R556" i="5"/>
  <c r="J556" i="5"/>
  <c r="I556" i="5"/>
  <c r="H556" i="5"/>
  <c r="F556" i="5"/>
  <c r="E556" i="5"/>
  <c r="X556" i="5" s="1"/>
  <c r="I448" i="5"/>
  <c r="H448" i="5"/>
  <c r="F448" i="5"/>
  <c r="R448" i="5"/>
  <c r="J448" i="5"/>
  <c r="E448" i="5"/>
  <c r="X448" i="5" s="1"/>
  <c r="R362" i="5"/>
  <c r="J362" i="5"/>
  <c r="H362" i="5"/>
  <c r="I362" i="5"/>
  <c r="F362" i="5"/>
  <c r="E362" i="5"/>
  <c r="X362" i="5" s="1"/>
  <c r="I409" i="5"/>
  <c r="H409" i="5"/>
  <c r="F409" i="5"/>
  <c r="E409" i="5"/>
  <c r="X409" i="5" s="1"/>
  <c r="J409" i="5"/>
  <c r="R409" i="5"/>
  <c r="R489" i="5"/>
  <c r="J489" i="5"/>
  <c r="I489" i="5"/>
  <c r="H489" i="5"/>
  <c r="F489" i="5"/>
  <c r="E489" i="5"/>
  <c r="X489" i="5" s="1"/>
  <c r="R378" i="5"/>
  <c r="J378" i="5"/>
  <c r="H378" i="5"/>
  <c r="I378" i="5"/>
  <c r="F378" i="5"/>
  <c r="E378" i="5"/>
  <c r="X378" i="5" s="1"/>
  <c r="R473" i="5"/>
  <c r="J473" i="5"/>
  <c r="I473" i="5"/>
  <c r="H473" i="5"/>
  <c r="F473" i="5"/>
  <c r="E473" i="5"/>
  <c r="X473" i="5" s="1"/>
  <c r="R465" i="5"/>
  <c r="J465" i="5"/>
  <c r="I465" i="5"/>
  <c r="H465" i="5"/>
  <c r="F465" i="5"/>
  <c r="E465" i="5"/>
  <c r="X465" i="5" s="1"/>
  <c r="F1295" i="5"/>
  <c r="E1295" i="5"/>
  <c r="X1295" i="5" s="1"/>
  <c r="R1295" i="5"/>
  <c r="J1295" i="5"/>
  <c r="I1295" i="5"/>
  <c r="H1295" i="5"/>
  <c r="J1345" i="5"/>
  <c r="I1345" i="5"/>
  <c r="R1345" i="5"/>
  <c r="H1345" i="5"/>
  <c r="F1345" i="5"/>
  <c r="E1345" i="5"/>
  <c r="X1345" i="5" s="1"/>
  <c r="I1284" i="5"/>
  <c r="H1284" i="5"/>
  <c r="F1284" i="5"/>
  <c r="J1284" i="5"/>
  <c r="E1284" i="5"/>
  <c r="X1284" i="5" s="1"/>
  <c r="R1284" i="5"/>
  <c r="I1308" i="5"/>
  <c r="H1308" i="5"/>
  <c r="F1308" i="5"/>
  <c r="E1308" i="5"/>
  <c r="X1308" i="5" s="1"/>
  <c r="J1308" i="5"/>
  <c r="R1308" i="5"/>
  <c r="H1224" i="5"/>
  <c r="F1224" i="5"/>
  <c r="E1224" i="5"/>
  <c r="X1224" i="5" s="1"/>
  <c r="R1224" i="5"/>
  <c r="J1224" i="5"/>
  <c r="I1224" i="5"/>
  <c r="I988" i="5"/>
  <c r="H988" i="5"/>
  <c r="F988" i="5"/>
  <c r="R988" i="5"/>
  <c r="J988" i="5"/>
  <c r="E988" i="5"/>
  <c r="X988" i="5" s="1"/>
  <c r="G665" i="5"/>
  <c r="E615" i="5"/>
  <c r="X615" i="5" s="1"/>
  <c r="I615" i="5"/>
  <c r="R615" i="5"/>
  <c r="J615" i="5"/>
  <c r="H615" i="5"/>
  <c r="G615" i="5"/>
  <c r="F615" i="5"/>
  <c r="R588" i="5"/>
  <c r="J588" i="5"/>
  <c r="I588" i="5"/>
  <c r="H588" i="5"/>
  <c r="F588" i="5"/>
  <c r="E588" i="5"/>
  <c r="X588" i="5" s="1"/>
  <c r="R552" i="5"/>
  <c r="J552" i="5"/>
  <c r="I552" i="5"/>
  <c r="H552" i="5"/>
  <c r="F552" i="5"/>
  <c r="E552" i="5"/>
  <c r="X552" i="5" s="1"/>
  <c r="G362" i="5"/>
  <c r="R325" i="5"/>
  <c r="R131" i="5"/>
  <c r="R35" i="5"/>
  <c r="R55" i="5"/>
  <c r="R107" i="5"/>
  <c r="A25" i="6"/>
  <c r="B57" i="4"/>
  <c r="A40" i="6" s="1"/>
  <c r="B51" i="4"/>
  <c r="A35" i="6" s="1"/>
  <c r="B69" i="4"/>
  <c r="A50" i="6" s="1"/>
  <c r="B63" i="4"/>
  <c r="A45" i="6" s="1"/>
  <c r="J1356" i="5"/>
  <c r="I1356" i="5"/>
  <c r="E1356" i="5"/>
  <c r="X1356" i="5" s="1"/>
  <c r="R1356" i="5"/>
  <c r="H1356" i="5"/>
  <c r="G1356" i="5"/>
  <c r="F1356" i="5"/>
  <c r="F45" i="6"/>
  <c r="F66" i="6"/>
  <c r="F50" i="6"/>
  <c r="H50" i="6" s="1"/>
  <c r="D50" i="6" s="1"/>
  <c r="F30" i="6"/>
  <c r="H25" i="6"/>
  <c r="F35" i="6"/>
  <c r="F40" i="6"/>
  <c r="F1287" i="5"/>
  <c r="E1287" i="5"/>
  <c r="X1287" i="5" s="1"/>
  <c r="R1287" i="5"/>
  <c r="J1287" i="5"/>
  <c r="I1287" i="5"/>
  <c r="H1287" i="5"/>
  <c r="J1368" i="5"/>
  <c r="I1368" i="5"/>
  <c r="H1368" i="5"/>
  <c r="F1368" i="5"/>
  <c r="E1368" i="5"/>
  <c r="X1368" i="5" s="1"/>
  <c r="R1368" i="5"/>
  <c r="G1345" i="5"/>
  <c r="I1280" i="5"/>
  <c r="H1280" i="5"/>
  <c r="F1280" i="5"/>
  <c r="R1280" i="5"/>
  <c r="J1280" i="5"/>
  <c r="E1280" i="5"/>
  <c r="X1280" i="5" s="1"/>
  <c r="H1264" i="5"/>
  <c r="I1264" i="5"/>
  <c r="F1264" i="5"/>
  <c r="R1264" i="5"/>
  <c r="J1264" i="5"/>
  <c r="E1264" i="5"/>
  <c r="X1264" i="5" s="1"/>
  <c r="R1281" i="5"/>
  <c r="J1281" i="5"/>
  <c r="I1281" i="5"/>
  <c r="H1281" i="5"/>
  <c r="F1281" i="5"/>
  <c r="E1281" i="5"/>
  <c r="X1281" i="5" s="1"/>
  <c r="F1275" i="5"/>
  <c r="E1275" i="5"/>
  <c r="X1275" i="5" s="1"/>
  <c r="R1275" i="5"/>
  <c r="J1275" i="5"/>
  <c r="I1275" i="5"/>
  <c r="H1275" i="5"/>
  <c r="J1247" i="5"/>
  <c r="H1247" i="5"/>
  <c r="F1247" i="5"/>
  <c r="E1247" i="5"/>
  <c r="X1247" i="5" s="1"/>
  <c r="R1247" i="5"/>
  <c r="I1247" i="5"/>
  <c r="G1247" i="5"/>
  <c r="G1281" i="5"/>
  <c r="F1347" i="5"/>
  <c r="E1347" i="5"/>
  <c r="X1347" i="5" s="1"/>
  <c r="R1347" i="5"/>
  <c r="J1347" i="5"/>
  <c r="I1347" i="5"/>
  <c r="H1347" i="5"/>
  <c r="H1216" i="5"/>
  <c r="F1216" i="5"/>
  <c r="E1216" i="5"/>
  <c r="X1216" i="5" s="1"/>
  <c r="R1216" i="5"/>
  <c r="J1216" i="5"/>
  <c r="I1216" i="5"/>
  <c r="F1192" i="5"/>
  <c r="E1192" i="5"/>
  <c r="X1192" i="5" s="1"/>
  <c r="R1192" i="5"/>
  <c r="H1192" i="5"/>
  <c r="I1192" i="5"/>
  <c r="J1192" i="5"/>
  <c r="R1301" i="5"/>
  <c r="J1301" i="5"/>
  <c r="I1301" i="5"/>
  <c r="H1301" i="5"/>
  <c r="F1301" i="5"/>
  <c r="E1301" i="5"/>
  <c r="X1301" i="5" s="1"/>
  <c r="J1221" i="5"/>
  <c r="I1221" i="5"/>
  <c r="H1221" i="5"/>
  <c r="E1221" i="5"/>
  <c r="X1221" i="5" s="1"/>
  <c r="F1221" i="5"/>
  <c r="R1221" i="5"/>
  <c r="I1153" i="5"/>
  <c r="H1153" i="5"/>
  <c r="R1153" i="5"/>
  <c r="J1153" i="5"/>
  <c r="F1153" i="5"/>
  <c r="E1153" i="5"/>
  <c r="X1153" i="5" s="1"/>
  <c r="H1139" i="5"/>
  <c r="F1139" i="5"/>
  <c r="E1139" i="5"/>
  <c r="X1139" i="5" s="1"/>
  <c r="R1139" i="5"/>
  <c r="J1139" i="5"/>
  <c r="I1139" i="5"/>
  <c r="I1008" i="5"/>
  <c r="H1008" i="5"/>
  <c r="F1008" i="5"/>
  <c r="E1008" i="5"/>
  <c r="X1008" i="5" s="1"/>
  <c r="R1008" i="5"/>
  <c r="J1008" i="5"/>
  <c r="H996" i="5"/>
  <c r="E996" i="5"/>
  <c r="X996" i="5" s="1"/>
  <c r="R996" i="5"/>
  <c r="J996" i="5"/>
  <c r="I996" i="5"/>
  <c r="G996" i="5"/>
  <c r="F996" i="5"/>
  <c r="G1158" i="5"/>
  <c r="R1013" i="5"/>
  <c r="J1013" i="5"/>
  <c r="I1013" i="5"/>
  <c r="H1013" i="5"/>
  <c r="E1013" i="5"/>
  <c r="X1013" i="5" s="1"/>
  <c r="G1013" i="5"/>
  <c r="F1013" i="5"/>
  <c r="F927" i="5"/>
  <c r="E927" i="5"/>
  <c r="X927" i="5" s="1"/>
  <c r="R927" i="5"/>
  <c r="J927" i="5"/>
  <c r="I927" i="5"/>
  <c r="H927" i="5"/>
  <c r="H1096" i="5"/>
  <c r="E1096" i="5"/>
  <c r="X1096" i="5" s="1"/>
  <c r="R1096" i="5"/>
  <c r="J1096" i="5"/>
  <c r="I1096" i="5"/>
  <c r="F1096" i="5"/>
  <c r="I980" i="5"/>
  <c r="H980" i="5"/>
  <c r="F980" i="5"/>
  <c r="R980" i="5"/>
  <c r="J980" i="5"/>
  <c r="E980" i="5"/>
  <c r="X980" i="5" s="1"/>
  <c r="R953" i="5"/>
  <c r="J953" i="5"/>
  <c r="H953" i="5"/>
  <c r="G953" i="5"/>
  <c r="F953" i="5"/>
  <c r="E953" i="5"/>
  <c r="X953" i="5" s="1"/>
  <c r="I953" i="5"/>
  <c r="R1025" i="5"/>
  <c r="J1025" i="5"/>
  <c r="I1025" i="5"/>
  <c r="H1025" i="5"/>
  <c r="F1025" i="5"/>
  <c r="E1025" i="5"/>
  <c r="X1025" i="5" s="1"/>
  <c r="R883" i="5"/>
  <c r="J883" i="5"/>
  <c r="I883" i="5"/>
  <c r="H883" i="5"/>
  <c r="F883" i="5"/>
  <c r="E883" i="5"/>
  <c r="X883" i="5" s="1"/>
  <c r="F745" i="5"/>
  <c r="E745" i="5"/>
  <c r="X745" i="5" s="1"/>
  <c r="R745" i="5"/>
  <c r="J745" i="5"/>
  <c r="I745" i="5"/>
  <c r="H745" i="5"/>
  <c r="R863" i="5"/>
  <c r="J863" i="5"/>
  <c r="I863" i="5"/>
  <c r="H863" i="5"/>
  <c r="F863" i="5"/>
  <c r="E863" i="5"/>
  <c r="X863" i="5" s="1"/>
  <c r="R831" i="5"/>
  <c r="I831" i="5"/>
  <c r="H831" i="5"/>
  <c r="F831" i="5"/>
  <c r="J831" i="5"/>
  <c r="E831" i="5"/>
  <c r="X831" i="5" s="1"/>
  <c r="I694" i="5"/>
  <c r="E694" i="5"/>
  <c r="X694" i="5" s="1"/>
  <c r="R694" i="5"/>
  <c r="J694" i="5"/>
  <c r="H694" i="5"/>
  <c r="F694" i="5"/>
  <c r="H676" i="5"/>
  <c r="F676" i="5"/>
  <c r="E676" i="5"/>
  <c r="X676" i="5" s="1"/>
  <c r="R676" i="5"/>
  <c r="J676" i="5"/>
  <c r="I676" i="5"/>
  <c r="I827" i="5"/>
  <c r="H827" i="5"/>
  <c r="F827" i="5"/>
  <c r="R827" i="5"/>
  <c r="J827" i="5"/>
  <c r="E827" i="5"/>
  <c r="X827" i="5" s="1"/>
  <c r="I815" i="5"/>
  <c r="H815" i="5"/>
  <c r="F815" i="5"/>
  <c r="R815" i="5"/>
  <c r="J815" i="5"/>
  <c r="E815" i="5"/>
  <c r="X815" i="5" s="1"/>
  <c r="E689" i="5"/>
  <c r="X689" i="5" s="1"/>
  <c r="I689" i="5"/>
  <c r="H689" i="5"/>
  <c r="F689" i="5"/>
  <c r="R689" i="5"/>
  <c r="J689" i="5"/>
  <c r="H632" i="5"/>
  <c r="F632" i="5"/>
  <c r="E632" i="5"/>
  <c r="X632" i="5" s="1"/>
  <c r="R632" i="5"/>
  <c r="J632" i="5"/>
  <c r="I632" i="5"/>
  <c r="G523" i="5"/>
  <c r="G491" i="5"/>
  <c r="G459" i="5"/>
  <c r="R616" i="5"/>
  <c r="J616" i="5"/>
  <c r="I616" i="5"/>
  <c r="H616" i="5"/>
  <c r="F616" i="5"/>
  <c r="E616" i="5"/>
  <c r="X616" i="5" s="1"/>
  <c r="I621" i="5"/>
  <c r="E621" i="5"/>
  <c r="X621" i="5" s="1"/>
  <c r="R621" i="5"/>
  <c r="J621" i="5"/>
  <c r="H621" i="5"/>
  <c r="F621" i="5"/>
  <c r="R528" i="5"/>
  <c r="J528" i="5"/>
  <c r="I528" i="5"/>
  <c r="H528" i="5"/>
  <c r="F528" i="5"/>
  <c r="E528" i="5"/>
  <c r="X528" i="5" s="1"/>
  <c r="I476" i="5"/>
  <c r="H476" i="5"/>
  <c r="F476" i="5"/>
  <c r="R476" i="5"/>
  <c r="J476" i="5"/>
  <c r="E476" i="5"/>
  <c r="X476" i="5" s="1"/>
  <c r="I444" i="5"/>
  <c r="H444" i="5"/>
  <c r="F444" i="5"/>
  <c r="R444" i="5"/>
  <c r="J444" i="5"/>
  <c r="E444" i="5"/>
  <c r="X444" i="5" s="1"/>
  <c r="R596" i="5"/>
  <c r="J596" i="5"/>
  <c r="I596" i="5"/>
  <c r="H596" i="5"/>
  <c r="F596" i="5"/>
  <c r="E596" i="5"/>
  <c r="X596" i="5" s="1"/>
  <c r="I421" i="5"/>
  <c r="H421" i="5"/>
  <c r="F421" i="5"/>
  <c r="E421" i="5"/>
  <c r="X421" i="5" s="1"/>
  <c r="R421" i="5"/>
  <c r="J421" i="5"/>
  <c r="R485" i="5"/>
  <c r="J485" i="5"/>
  <c r="I485" i="5"/>
  <c r="H485" i="5"/>
  <c r="F485" i="5"/>
  <c r="E485" i="5"/>
  <c r="X485" i="5" s="1"/>
  <c r="R398" i="5"/>
  <c r="J398" i="5"/>
  <c r="H398" i="5"/>
  <c r="F398" i="5"/>
  <c r="E398" i="5"/>
  <c r="X398" i="5" s="1"/>
  <c r="I398" i="5"/>
  <c r="R457" i="5"/>
  <c r="J457" i="5"/>
  <c r="I457" i="5"/>
  <c r="H457" i="5"/>
  <c r="F457" i="5"/>
  <c r="E457" i="5"/>
  <c r="X457" i="5" s="1"/>
  <c r="X337" i="5"/>
  <c r="R337" i="5"/>
  <c r="R441" i="5"/>
  <c r="J441" i="5"/>
  <c r="I441" i="5"/>
  <c r="H441" i="5"/>
  <c r="F441" i="5"/>
  <c r="E441" i="5"/>
  <c r="X441" i="5" s="1"/>
  <c r="I373" i="5"/>
  <c r="H373" i="5"/>
  <c r="F373" i="5"/>
  <c r="E373" i="5"/>
  <c r="X373" i="5" s="1"/>
  <c r="R373" i="5"/>
  <c r="J373" i="5"/>
  <c r="R524" i="5"/>
  <c r="J524" i="5"/>
  <c r="I524" i="5"/>
  <c r="H524" i="5"/>
  <c r="F524" i="5"/>
  <c r="E524" i="5"/>
  <c r="X524" i="5" s="1"/>
  <c r="R261" i="5"/>
  <c r="R281" i="5"/>
  <c r="R305" i="5"/>
  <c r="R301" i="5"/>
  <c r="R282" i="5"/>
  <c r="R257" i="5"/>
  <c r="R211" i="5"/>
  <c r="R203" i="5"/>
  <c r="R195" i="5"/>
  <c r="R187" i="5"/>
  <c r="R179" i="5"/>
  <c r="R171" i="5"/>
  <c r="R163" i="5"/>
  <c r="R155" i="5"/>
  <c r="R147" i="5"/>
  <c r="R139" i="5"/>
  <c r="R297" i="5"/>
  <c r="R274" i="5"/>
  <c r="R111" i="5"/>
  <c r="R123" i="5"/>
  <c r="R59" i="5"/>
  <c r="A24" i="6"/>
  <c r="B68" i="4"/>
  <c r="A49" i="6" s="1"/>
  <c r="B62" i="4"/>
  <c r="A44" i="6" s="1"/>
  <c r="B50" i="4"/>
  <c r="A34" i="6" s="1"/>
  <c r="B56" i="4"/>
  <c r="A39" i="6" s="1"/>
  <c r="J1364" i="5"/>
  <c r="I1364" i="5"/>
  <c r="E1364" i="5"/>
  <c r="X1364" i="5" s="1"/>
  <c r="R1364" i="5"/>
  <c r="H1364" i="5"/>
  <c r="G1364" i="5"/>
  <c r="F1364" i="5"/>
  <c r="H1344" i="5"/>
  <c r="R1344" i="5"/>
  <c r="J1344" i="5"/>
  <c r="I1344" i="5"/>
  <c r="F1344" i="5"/>
  <c r="E1344" i="5"/>
  <c r="X1344" i="5" s="1"/>
  <c r="D64" i="6"/>
  <c r="C64" i="6"/>
  <c r="J1377" i="5"/>
  <c r="I1377" i="5"/>
  <c r="H1377" i="5"/>
  <c r="R1377" i="5"/>
  <c r="F1377" i="5"/>
  <c r="E1377" i="5"/>
  <c r="I1296" i="5"/>
  <c r="H1296" i="5"/>
  <c r="F1296" i="5"/>
  <c r="E1296" i="5"/>
  <c r="X1296" i="5" s="1"/>
  <c r="R1296" i="5"/>
  <c r="J1296" i="5"/>
  <c r="I1146" i="5"/>
  <c r="H1146" i="5"/>
  <c r="F1146" i="5"/>
  <c r="E1146" i="5"/>
  <c r="X1146" i="5" s="1"/>
  <c r="R1146" i="5"/>
  <c r="J1146" i="5"/>
  <c r="J1136" i="5"/>
  <c r="I1136" i="5"/>
  <c r="H1136" i="5"/>
  <c r="E1136" i="5"/>
  <c r="X1136" i="5" s="1"/>
  <c r="R1136" i="5"/>
  <c r="F1136" i="5"/>
  <c r="F1103" i="5"/>
  <c r="R1103" i="5"/>
  <c r="J1103" i="5"/>
  <c r="I1103" i="5"/>
  <c r="H1103" i="5"/>
  <c r="E1103" i="5"/>
  <c r="X1103" i="5" s="1"/>
  <c r="F1091" i="5"/>
  <c r="R1091" i="5"/>
  <c r="J1091" i="5"/>
  <c r="I1091" i="5"/>
  <c r="H1091" i="5"/>
  <c r="E1091" i="5"/>
  <c r="X1091" i="5" s="1"/>
  <c r="H1004" i="5"/>
  <c r="F1004" i="5"/>
  <c r="J1004" i="5"/>
  <c r="I1004" i="5"/>
  <c r="E1004" i="5"/>
  <c r="X1004" i="5" s="1"/>
  <c r="R1004" i="5"/>
  <c r="F979" i="5"/>
  <c r="E979" i="5"/>
  <c r="X979" i="5" s="1"/>
  <c r="I979" i="5"/>
  <c r="H979" i="5"/>
  <c r="J979" i="5"/>
  <c r="R979" i="5"/>
  <c r="R871" i="5"/>
  <c r="J871" i="5"/>
  <c r="I871" i="5"/>
  <c r="H871" i="5"/>
  <c r="F871" i="5"/>
  <c r="E871" i="5"/>
  <c r="X871" i="5" s="1"/>
  <c r="I742" i="5"/>
  <c r="H742" i="5"/>
  <c r="F742" i="5"/>
  <c r="E742" i="5"/>
  <c r="X742" i="5" s="1"/>
  <c r="R742" i="5"/>
  <c r="J742" i="5"/>
  <c r="I819" i="5"/>
  <c r="H819" i="5"/>
  <c r="F819" i="5"/>
  <c r="R819" i="5"/>
  <c r="J819" i="5"/>
  <c r="E819" i="5"/>
  <c r="X819" i="5" s="1"/>
  <c r="R899" i="5"/>
  <c r="J899" i="5"/>
  <c r="I899" i="5"/>
  <c r="H899" i="5"/>
  <c r="F899" i="5"/>
  <c r="E899" i="5"/>
  <c r="X899" i="5" s="1"/>
  <c r="E781" i="5"/>
  <c r="X781" i="5" s="1"/>
  <c r="J781" i="5"/>
  <c r="R781" i="5"/>
  <c r="I781" i="5"/>
  <c r="H781" i="5"/>
  <c r="F781" i="5"/>
  <c r="H656" i="5"/>
  <c r="F656" i="5"/>
  <c r="E656" i="5"/>
  <c r="X656" i="5" s="1"/>
  <c r="R656" i="5"/>
  <c r="J656" i="5"/>
  <c r="I656" i="5"/>
  <c r="I698" i="5"/>
  <c r="J698" i="5"/>
  <c r="H698" i="5"/>
  <c r="F698" i="5"/>
  <c r="E698" i="5"/>
  <c r="X698" i="5" s="1"/>
  <c r="R698" i="5"/>
  <c r="I787" i="5"/>
  <c r="H787" i="5"/>
  <c r="F787" i="5"/>
  <c r="R787" i="5"/>
  <c r="J787" i="5"/>
  <c r="E787" i="5"/>
  <c r="X787" i="5" s="1"/>
  <c r="J681" i="5"/>
  <c r="I681" i="5"/>
  <c r="H681" i="5"/>
  <c r="F681" i="5"/>
  <c r="E681" i="5"/>
  <c r="X681" i="5" s="1"/>
  <c r="R681" i="5"/>
  <c r="J677" i="5"/>
  <c r="I677" i="5"/>
  <c r="H677" i="5"/>
  <c r="F677" i="5"/>
  <c r="E677" i="5"/>
  <c r="X677" i="5" s="1"/>
  <c r="R677" i="5"/>
  <c r="J669" i="5"/>
  <c r="I669" i="5"/>
  <c r="H669" i="5"/>
  <c r="F669" i="5"/>
  <c r="E669" i="5"/>
  <c r="X669" i="5" s="1"/>
  <c r="R669" i="5"/>
  <c r="J661" i="5"/>
  <c r="I661" i="5"/>
  <c r="H661" i="5"/>
  <c r="F661" i="5"/>
  <c r="E661" i="5"/>
  <c r="X661" i="5" s="1"/>
  <c r="R661" i="5"/>
  <c r="J653" i="5"/>
  <c r="I653" i="5"/>
  <c r="H653" i="5"/>
  <c r="F653" i="5"/>
  <c r="E653" i="5"/>
  <c r="X653" i="5" s="1"/>
  <c r="R653" i="5"/>
  <c r="I587" i="5"/>
  <c r="H587" i="5"/>
  <c r="F587" i="5"/>
  <c r="E587" i="5"/>
  <c r="X587" i="5" s="1"/>
  <c r="R587" i="5"/>
  <c r="J587" i="5"/>
  <c r="I555" i="5"/>
  <c r="H555" i="5"/>
  <c r="F555" i="5"/>
  <c r="E555" i="5"/>
  <c r="X555" i="5" s="1"/>
  <c r="R555" i="5"/>
  <c r="J555" i="5"/>
  <c r="I539" i="5"/>
  <c r="H539" i="5"/>
  <c r="F539" i="5"/>
  <c r="E539" i="5"/>
  <c r="X539" i="5" s="1"/>
  <c r="J539" i="5"/>
  <c r="R539" i="5"/>
  <c r="I507" i="5"/>
  <c r="H507" i="5"/>
  <c r="F507" i="5"/>
  <c r="E507" i="5"/>
  <c r="X507" i="5" s="1"/>
  <c r="J507" i="5"/>
  <c r="R507" i="5"/>
  <c r="F475" i="5"/>
  <c r="E475" i="5"/>
  <c r="X475" i="5" s="1"/>
  <c r="R475" i="5"/>
  <c r="J475" i="5"/>
  <c r="I475" i="5"/>
  <c r="H475" i="5"/>
  <c r="F443" i="5"/>
  <c r="E443" i="5"/>
  <c r="X443" i="5" s="1"/>
  <c r="R443" i="5"/>
  <c r="J443" i="5"/>
  <c r="I443" i="5"/>
  <c r="H443" i="5"/>
  <c r="R739" i="5"/>
  <c r="J739" i="5"/>
  <c r="I739" i="5"/>
  <c r="H739" i="5"/>
  <c r="F739" i="5"/>
  <c r="E739" i="5"/>
  <c r="X739" i="5" s="1"/>
  <c r="J649" i="5"/>
  <c r="I649" i="5"/>
  <c r="H649" i="5"/>
  <c r="F649" i="5"/>
  <c r="E649" i="5"/>
  <c r="X649" i="5" s="1"/>
  <c r="R649" i="5"/>
  <c r="I480" i="5"/>
  <c r="H480" i="5"/>
  <c r="F480" i="5"/>
  <c r="R480" i="5"/>
  <c r="J480" i="5"/>
  <c r="E480" i="5"/>
  <c r="X480" i="5" s="1"/>
  <c r="I413" i="5"/>
  <c r="H413" i="5"/>
  <c r="F413" i="5"/>
  <c r="E413" i="5"/>
  <c r="X413" i="5" s="1"/>
  <c r="J413" i="5"/>
  <c r="R413" i="5"/>
  <c r="R366" i="5"/>
  <c r="J366" i="5"/>
  <c r="H366" i="5"/>
  <c r="F366" i="5"/>
  <c r="E366" i="5"/>
  <c r="X366" i="5" s="1"/>
  <c r="I366" i="5"/>
  <c r="R290" i="5"/>
  <c r="R39" i="5"/>
  <c r="A27" i="6"/>
  <c r="B53" i="4"/>
  <c r="A37" i="6" s="1"/>
  <c r="B65" i="4"/>
  <c r="A47" i="6" s="1"/>
  <c r="B71" i="4"/>
  <c r="A52" i="6" s="1"/>
  <c r="B59" i="4"/>
  <c r="A42" i="6" s="1"/>
  <c r="H1340" i="5"/>
  <c r="I1340" i="5"/>
  <c r="F1340" i="5"/>
  <c r="E1340" i="5"/>
  <c r="X1340" i="5" s="1"/>
  <c r="R1340" i="5"/>
  <c r="J1340" i="5"/>
  <c r="F42" i="6"/>
  <c r="H42" i="6" s="1"/>
  <c r="D42" i="6" s="1"/>
  <c r="H27" i="6"/>
  <c r="F68" i="6"/>
  <c r="F32" i="6"/>
  <c r="F52" i="6"/>
  <c r="H52" i="6" s="1"/>
  <c r="D52" i="6" s="1"/>
  <c r="F47" i="6"/>
  <c r="F37" i="6"/>
  <c r="H37" i="6" s="1"/>
  <c r="D37" i="6" s="1"/>
  <c r="G1208" i="5"/>
  <c r="F1200" i="5"/>
  <c r="E1200" i="5"/>
  <c r="X1200" i="5" s="1"/>
  <c r="J1200" i="5"/>
  <c r="R1200" i="5"/>
  <c r="I1200" i="5"/>
  <c r="H1200" i="5"/>
  <c r="I1177" i="5"/>
  <c r="J1177" i="5"/>
  <c r="H1177" i="5"/>
  <c r="F1177" i="5"/>
  <c r="E1177" i="5"/>
  <c r="X1177" i="5" s="1"/>
  <c r="R1177" i="5"/>
  <c r="R1045" i="5"/>
  <c r="J1045" i="5"/>
  <c r="I1045" i="5"/>
  <c r="H1045" i="5"/>
  <c r="E1045" i="5"/>
  <c r="X1045" i="5" s="1"/>
  <c r="F1045" i="5"/>
  <c r="G1045" i="5"/>
  <c r="G1004" i="5"/>
  <c r="F951" i="5"/>
  <c r="E951" i="5"/>
  <c r="X951" i="5" s="1"/>
  <c r="R951" i="5"/>
  <c r="J951" i="5"/>
  <c r="I951" i="5"/>
  <c r="H951" i="5"/>
  <c r="G976" i="5"/>
  <c r="R937" i="5"/>
  <c r="J937" i="5"/>
  <c r="H937" i="5"/>
  <c r="G937" i="5"/>
  <c r="F937" i="5"/>
  <c r="E937" i="5"/>
  <c r="X937" i="5" s="1"/>
  <c r="I937" i="5"/>
  <c r="R965" i="5"/>
  <c r="J965" i="5"/>
  <c r="I965" i="5"/>
  <c r="H965" i="5"/>
  <c r="F965" i="5"/>
  <c r="E965" i="5"/>
  <c r="X965" i="5" s="1"/>
  <c r="R919" i="5"/>
  <c r="J919" i="5"/>
  <c r="I919" i="5"/>
  <c r="H919" i="5"/>
  <c r="F919" i="5"/>
  <c r="E919" i="5"/>
  <c r="X919" i="5" s="1"/>
  <c r="G714" i="5"/>
  <c r="R699" i="5"/>
  <c r="I699" i="5"/>
  <c r="E699" i="5"/>
  <c r="X699" i="5" s="1"/>
  <c r="J699" i="5"/>
  <c r="H699" i="5"/>
  <c r="F699" i="5"/>
  <c r="G699" i="5"/>
  <c r="G656" i="5"/>
  <c r="I718" i="5"/>
  <c r="F718" i="5"/>
  <c r="H718" i="5"/>
  <c r="E718" i="5"/>
  <c r="X718" i="5" s="1"/>
  <c r="R718" i="5"/>
  <c r="J718" i="5"/>
  <c r="H652" i="5"/>
  <c r="F652" i="5"/>
  <c r="E652" i="5"/>
  <c r="X652" i="5" s="1"/>
  <c r="R652" i="5"/>
  <c r="J652" i="5"/>
  <c r="I652" i="5"/>
  <c r="G847" i="5"/>
  <c r="G698" i="5"/>
  <c r="G673" i="5"/>
  <c r="G661" i="5"/>
  <c r="G657" i="5"/>
  <c r="R580" i="5"/>
  <c r="J580" i="5"/>
  <c r="I580" i="5"/>
  <c r="H580" i="5"/>
  <c r="F580" i="5"/>
  <c r="E580" i="5"/>
  <c r="X580" i="5" s="1"/>
  <c r="R604" i="5"/>
  <c r="J604" i="5"/>
  <c r="I604" i="5"/>
  <c r="H604" i="5"/>
  <c r="F604" i="5"/>
  <c r="E604" i="5"/>
  <c r="X604" i="5" s="1"/>
  <c r="G536" i="5"/>
  <c r="I468" i="5"/>
  <c r="H468" i="5"/>
  <c r="F468" i="5"/>
  <c r="R468" i="5"/>
  <c r="J468" i="5"/>
  <c r="E468" i="5"/>
  <c r="X468" i="5" s="1"/>
  <c r="I436" i="5"/>
  <c r="H436" i="5"/>
  <c r="F436" i="5"/>
  <c r="R436" i="5"/>
  <c r="J436" i="5"/>
  <c r="E436" i="5"/>
  <c r="X436" i="5" s="1"/>
  <c r="J350" i="5"/>
  <c r="H350" i="5"/>
  <c r="F350" i="5"/>
  <c r="E350" i="5"/>
  <c r="X350" i="5" s="1"/>
  <c r="I350" i="5"/>
  <c r="R350" i="5"/>
  <c r="G366" i="5"/>
  <c r="R285" i="5"/>
  <c r="R273" i="5"/>
  <c r="A15" i="6"/>
  <c r="B33" i="4"/>
  <c r="A20" i="6" s="1"/>
  <c r="F1283" i="5"/>
  <c r="E1283" i="5"/>
  <c r="X1283" i="5" s="1"/>
  <c r="H1283" i="5"/>
  <c r="R1283" i="5"/>
  <c r="J1283" i="5"/>
  <c r="I1283" i="5"/>
  <c r="J1317" i="5"/>
  <c r="R1317" i="5"/>
  <c r="I1317" i="5"/>
  <c r="E1317" i="5"/>
  <c r="X1317" i="5" s="1"/>
  <c r="H1317" i="5"/>
  <c r="G1317" i="5"/>
  <c r="F1317" i="5"/>
  <c r="H22" i="6"/>
  <c r="K68" i="6" s="1"/>
  <c r="F1362" i="5"/>
  <c r="E1362" i="5"/>
  <c r="X1362" i="5" s="1"/>
  <c r="R1362" i="5"/>
  <c r="J1362" i="5"/>
  <c r="I1362" i="5"/>
  <c r="H1362" i="5"/>
  <c r="J1321" i="5"/>
  <c r="I1321" i="5"/>
  <c r="H1321" i="5"/>
  <c r="R1321" i="5"/>
  <c r="F1321" i="5"/>
  <c r="E1321" i="5"/>
  <c r="X1321" i="5" s="1"/>
  <c r="G1280" i="5"/>
  <c r="G1264" i="5"/>
  <c r="G1275" i="5"/>
  <c r="J1239" i="5"/>
  <c r="H1239" i="5"/>
  <c r="F1239" i="5"/>
  <c r="E1239" i="5"/>
  <c r="X1239" i="5" s="1"/>
  <c r="R1239" i="5"/>
  <c r="I1239" i="5"/>
  <c r="G1239" i="5"/>
  <c r="R1293" i="5"/>
  <c r="J1293" i="5"/>
  <c r="I1293" i="5"/>
  <c r="H1293" i="5"/>
  <c r="F1293" i="5"/>
  <c r="E1293" i="5"/>
  <c r="X1293" i="5" s="1"/>
  <c r="R1305" i="5"/>
  <c r="J1305" i="5"/>
  <c r="I1305" i="5"/>
  <c r="H1305" i="5"/>
  <c r="F1305" i="5"/>
  <c r="E1305" i="5"/>
  <c r="X1305" i="5" s="1"/>
  <c r="G1216" i="5"/>
  <c r="I1288" i="5"/>
  <c r="H1288" i="5"/>
  <c r="F1288" i="5"/>
  <c r="E1288" i="5"/>
  <c r="X1288" i="5" s="1"/>
  <c r="R1288" i="5"/>
  <c r="J1288" i="5"/>
  <c r="J1209" i="5"/>
  <c r="I1209" i="5"/>
  <c r="H1209" i="5"/>
  <c r="F1209" i="5"/>
  <c r="R1209" i="5"/>
  <c r="E1209" i="5"/>
  <c r="X1209" i="5" s="1"/>
  <c r="J1213" i="5"/>
  <c r="I1213" i="5"/>
  <c r="H1213" i="5"/>
  <c r="E1213" i="5"/>
  <c r="X1213" i="5" s="1"/>
  <c r="R1213" i="5"/>
  <c r="F1213" i="5"/>
  <c r="G1192" i="5"/>
  <c r="G1301" i="5"/>
  <c r="G1221" i="5"/>
  <c r="I1173" i="5"/>
  <c r="H1173" i="5"/>
  <c r="R1173" i="5"/>
  <c r="J1173" i="5"/>
  <c r="F1173" i="5"/>
  <c r="E1173" i="5"/>
  <c r="X1173" i="5" s="1"/>
  <c r="H1123" i="5"/>
  <c r="F1123" i="5"/>
  <c r="E1123" i="5"/>
  <c r="X1123" i="5" s="1"/>
  <c r="R1123" i="5"/>
  <c r="J1123" i="5"/>
  <c r="I1123" i="5"/>
  <c r="J1085" i="5"/>
  <c r="E1085" i="5"/>
  <c r="X1085" i="5" s="1"/>
  <c r="R1085" i="5"/>
  <c r="I1085" i="5"/>
  <c r="H1085" i="5"/>
  <c r="F1085" i="5"/>
  <c r="E1175" i="5"/>
  <c r="X1175" i="5" s="1"/>
  <c r="R1175" i="5"/>
  <c r="I1175" i="5"/>
  <c r="J1175" i="5"/>
  <c r="H1175" i="5"/>
  <c r="F1175" i="5"/>
  <c r="G1139" i="5"/>
  <c r="I1181" i="5"/>
  <c r="H1181" i="5"/>
  <c r="R1181" i="5"/>
  <c r="J1181" i="5"/>
  <c r="E1181" i="5"/>
  <c r="X1181" i="5" s="1"/>
  <c r="F1181" i="5"/>
  <c r="H1111" i="5"/>
  <c r="F1111" i="5"/>
  <c r="E1111" i="5"/>
  <c r="X1111" i="5" s="1"/>
  <c r="R1111" i="5"/>
  <c r="J1111" i="5"/>
  <c r="I1111" i="5"/>
  <c r="G1008" i="5"/>
  <c r="H1119" i="5"/>
  <c r="F1119" i="5"/>
  <c r="E1119" i="5"/>
  <c r="X1119" i="5" s="1"/>
  <c r="R1119" i="5"/>
  <c r="J1119" i="5"/>
  <c r="I1119" i="5"/>
  <c r="R1017" i="5"/>
  <c r="J1017" i="5"/>
  <c r="I1017" i="5"/>
  <c r="H1017" i="5"/>
  <c r="E1017" i="5"/>
  <c r="X1017" i="5" s="1"/>
  <c r="F1017" i="5"/>
  <c r="J1001" i="5"/>
  <c r="I1001" i="5"/>
  <c r="H1001" i="5"/>
  <c r="E1001" i="5"/>
  <c r="X1001" i="5" s="1"/>
  <c r="R1001" i="5"/>
  <c r="G1001" i="5"/>
  <c r="F1001" i="5"/>
  <c r="F987" i="5"/>
  <c r="E987" i="5"/>
  <c r="X987" i="5" s="1"/>
  <c r="I987" i="5"/>
  <c r="H987" i="5"/>
  <c r="R987" i="5"/>
  <c r="J987" i="5"/>
  <c r="F971" i="5"/>
  <c r="E971" i="5"/>
  <c r="X971" i="5" s="1"/>
  <c r="I971" i="5"/>
  <c r="H971" i="5"/>
  <c r="R971" i="5"/>
  <c r="J971" i="5"/>
  <c r="J1112" i="5"/>
  <c r="I1112" i="5"/>
  <c r="H1112" i="5"/>
  <c r="E1112" i="5"/>
  <c r="X1112" i="5" s="1"/>
  <c r="R1112" i="5"/>
  <c r="F1112" i="5"/>
  <c r="E1155" i="5"/>
  <c r="X1155" i="5" s="1"/>
  <c r="J1155" i="5"/>
  <c r="I1155" i="5"/>
  <c r="H1155" i="5"/>
  <c r="F1155" i="5"/>
  <c r="R1155" i="5"/>
  <c r="G927" i="5"/>
  <c r="G980" i="5"/>
  <c r="I948" i="5"/>
  <c r="H948" i="5"/>
  <c r="G948" i="5"/>
  <c r="F948" i="5"/>
  <c r="E948" i="5"/>
  <c r="X948" i="5" s="1"/>
  <c r="R948" i="5"/>
  <c r="J948" i="5"/>
  <c r="R929" i="5"/>
  <c r="J929" i="5"/>
  <c r="H929" i="5"/>
  <c r="G929" i="5"/>
  <c r="F929" i="5"/>
  <c r="E929" i="5"/>
  <c r="X929" i="5" s="1"/>
  <c r="I929" i="5"/>
  <c r="G883" i="5"/>
  <c r="F741" i="5"/>
  <c r="E741" i="5"/>
  <c r="X741" i="5" s="1"/>
  <c r="R741" i="5"/>
  <c r="J741" i="5"/>
  <c r="H741" i="5"/>
  <c r="I741" i="5"/>
  <c r="G863" i="5"/>
  <c r="R907" i="5"/>
  <c r="J907" i="5"/>
  <c r="I907" i="5"/>
  <c r="H907" i="5"/>
  <c r="F907" i="5"/>
  <c r="E907" i="5"/>
  <c r="X907" i="5" s="1"/>
  <c r="G831" i="5"/>
  <c r="I734" i="5"/>
  <c r="H734" i="5"/>
  <c r="F734" i="5"/>
  <c r="R734" i="5"/>
  <c r="J734" i="5"/>
  <c r="E734" i="5"/>
  <c r="X734" i="5" s="1"/>
  <c r="R887" i="5"/>
  <c r="J887" i="5"/>
  <c r="I887" i="5"/>
  <c r="H887" i="5"/>
  <c r="F887" i="5"/>
  <c r="E887" i="5"/>
  <c r="X887" i="5" s="1"/>
  <c r="R867" i="5"/>
  <c r="J867" i="5"/>
  <c r="I867" i="5"/>
  <c r="H867" i="5"/>
  <c r="F867" i="5"/>
  <c r="E867" i="5"/>
  <c r="X867" i="5" s="1"/>
  <c r="R743" i="5"/>
  <c r="J743" i="5"/>
  <c r="I743" i="5"/>
  <c r="H743" i="5"/>
  <c r="F743" i="5"/>
  <c r="E743" i="5"/>
  <c r="X743" i="5" s="1"/>
  <c r="R747" i="5"/>
  <c r="J747" i="5"/>
  <c r="I747" i="5"/>
  <c r="H747" i="5"/>
  <c r="F747" i="5"/>
  <c r="E747" i="5"/>
  <c r="X747" i="5" s="1"/>
  <c r="G694" i="5"/>
  <c r="G676" i="5"/>
  <c r="R731" i="5"/>
  <c r="J731" i="5"/>
  <c r="I731" i="5"/>
  <c r="H731" i="5"/>
  <c r="F731" i="5"/>
  <c r="E731" i="5"/>
  <c r="X731" i="5" s="1"/>
  <c r="H672" i="5"/>
  <c r="F672" i="5"/>
  <c r="E672" i="5"/>
  <c r="X672" i="5" s="1"/>
  <c r="R672" i="5"/>
  <c r="J672" i="5"/>
  <c r="I672" i="5"/>
  <c r="G827" i="5"/>
  <c r="E708" i="5"/>
  <c r="X708" i="5" s="1"/>
  <c r="R708" i="5"/>
  <c r="H708" i="5"/>
  <c r="F708" i="5"/>
  <c r="J708" i="5"/>
  <c r="I708" i="5"/>
  <c r="G815" i="5"/>
  <c r="G632" i="5"/>
  <c r="R610" i="5"/>
  <c r="H610" i="5"/>
  <c r="G610" i="5"/>
  <c r="F610" i="5"/>
  <c r="E610" i="5"/>
  <c r="X610" i="5" s="1"/>
  <c r="J610" i="5"/>
  <c r="I610" i="5"/>
  <c r="I595" i="5"/>
  <c r="H595" i="5"/>
  <c r="F595" i="5"/>
  <c r="E595" i="5"/>
  <c r="X595" i="5" s="1"/>
  <c r="R595" i="5"/>
  <c r="J595" i="5"/>
  <c r="I579" i="5"/>
  <c r="H579" i="5"/>
  <c r="F579" i="5"/>
  <c r="E579" i="5"/>
  <c r="X579" i="5" s="1"/>
  <c r="R579" i="5"/>
  <c r="J579" i="5"/>
  <c r="I563" i="5"/>
  <c r="H563" i="5"/>
  <c r="F563" i="5"/>
  <c r="E563" i="5"/>
  <c r="X563" i="5" s="1"/>
  <c r="J563" i="5"/>
  <c r="R563" i="5"/>
  <c r="I547" i="5"/>
  <c r="H547" i="5"/>
  <c r="F547" i="5"/>
  <c r="E547" i="5"/>
  <c r="X547" i="5" s="1"/>
  <c r="R547" i="5"/>
  <c r="J547" i="5"/>
  <c r="I531" i="5"/>
  <c r="H531" i="5"/>
  <c r="F531" i="5"/>
  <c r="E531" i="5"/>
  <c r="X531" i="5" s="1"/>
  <c r="J531" i="5"/>
  <c r="R531" i="5"/>
  <c r="I515" i="5"/>
  <c r="H515" i="5"/>
  <c r="F515" i="5"/>
  <c r="E515" i="5"/>
  <c r="X515" i="5" s="1"/>
  <c r="R515" i="5"/>
  <c r="J515" i="5"/>
  <c r="F499" i="5"/>
  <c r="E499" i="5"/>
  <c r="X499" i="5" s="1"/>
  <c r="R499" i="5"/>
  <c r="J499" i="5"/>
  <c r="I499" i="5"/>
  <c r="H499" i="5"/>
  <c r="F483" i="5"/>
  <c r="E483" i="5"/>
  <c r="X483" i="5" s="1"/>
  <c r="R483" i="5"/>
  <c r="J483" i="5"/>
  <c r="I483" i="5"/>
  <c r="H483" i="5"/>
  <c r="F467" i="5"/>
  <c r="E467" i="5"/>
  <c r="X467" i="5" s="1"/>
  <c r="R467" i="5"/>
  <c r="J467" i="5"/>
  <c r="I467" i="5"/>
  <c r="H467" i="5"/>
  <c r="F451" i="5"/>
  <c r="E451" i="5"/>
  <c r="X451" i="5" s="1"/>
  <c r="R451" i="5"/>
  <c r="J451" i="5"/>
  <c r="I451" i="5"/>
  <c r="H451" i="5"/>
  <c r="F435" i="5"/>
  <c r="E435" i="5"/>
  <c r="X435" i="5" s="1"/>
  <c r="R435" i="5"/>
  <c r="J435" i="5"/>
  <c r="I435" i="5"/>
  <c r="H435" i="5"/>
  <c r="R808" i="5"/>
  <c r="J808" i="5"/>
  <c r="I808" i="5"/>
  <c r="H808" i="5"/>
  <c r="F808" i="5"/>
  <c r="E808" i="5"/>
  <c r="X808" i="5" s="1"/>
  <c r="H636" i="5"/>
  <c r="F636" i="5"/>
  <c r="E636" i="5"/>
  <c r="X636" i="5" s="1"/>
  <c r="R636" i="5"/>
  <c r="J636" i="5"/>
  <c r="I636" i="5"/>
  <c r="E716" i="5"/>
  <c r="X716" i="5" s="1"/>
  <c r="R716" i="5"/>
  <c r="J716" i="5"/>
  <c r="I716" i="5"/>
  <c r="H716" i="5"/>
  <c r="F716" i="5"/>
  <c r="G616" i="5"/>
  <c r="R584" i="5"/>
  <c r="J584" i="5"/>
  <c r="I584" i="5"/>
  <c r="H584" i="5"/>
  <c r="F584" i="5"/>
  <c r="E584" i="5"/>
  <c r="X584" i="5" s="1"/>
  <c r="R512" i="5"/>
  <c r="J512" i="5"/>
  <c r="I512" i="5"/>
  <c r="H512" i="5"/>
  <c r="F512" i="5"/>
  <c r="E512" i="5"/>
  <c r="X512" i="5" s="1"/>
  <c r="E712" i="5"/>
  <c r="X712" i="5" s="1"/>
  <c r="R712" i="5"/>
  <c r="J712" i="5"/>
  <c r="I712" i="5"/>
  <c r="H712" i="5"/>
  <c r="F712" i="5"/>
  <c r="R600" i="5"/>
  <c r="J600" i="5"/>
  <c r="I600" i="5"/>
  <c r="H600" i="5"/>
  <c r="F600" i="5"/>
  <c r="E600" i="5"/>
  <c r="X600" i="5" s="1"/>
  <c r="E709" i="5"/>
  <c r="X709" i="5" s="1"/>
  <c r="R709" i="5"/>
  <c r="J709" i="5"/>
  <c r="I709" i="5"/>
  <c r="H709" i="5"/>
  <c r="F709" i="5"/>
  <c r="G528" i="5"/>
  <c r="I424" i="5"/>
  <c r="H424" i="5"/>
  <c r="F424" i="5"/>
  <c r="R424" i="5"/>
  <c r="J424" i="5"/>
  <c r="G424" i="5"/>
  <c r="E424" i="5"/>
  <c r="X424" i="5" s="1"/>
  <c r="I687" i="5"/>
  <c r="R687" i="5"/>
  <c r="J687" i="5"/>
  <c r="H687" i="5"/>
  <c r="F687" i="5"/>
  <c r="E687" i="5"/>
  <c r="X687" i="5" s="1"/>
  <c r="I496" i="5"/>
  <c r="H496" i="5"/>
  <c r="F496" i="5"/>
  <c r="R496" i="5"/>
  <c r="J496" i="5"/>
  <c r="E496" i="5"/>
  <c r="X496" i="5" s="1"/>
  <c r="G476" i="5"/>
  <c r="I464" i="5"/>
  <c r="H464" i="5"/>
  <c r="F464" i="5"/>
  <c r="R464" i="5"/>
  <c r="J464" i="5"/>
  <c r="E464" i="5"/>
  <c r="X464" i="5" s="1"/>
  <c r="G444" i="5"/>
  <c r="I432" i="5"/>
  <c r="H432" i="5"/>
  <c r="F432" i="5"/>
  <c r="R432" i="5"/>
  <c r="J432" i="5"/>
  <c r="E432" i="5"/>
  <c r="X432" i="5" s="1"/>
  <c r="G596" i="5"/>
  <c r="R410" i="5"/>
  <c r="J410" i="5"/>
  <c r="H410" i="5"/>
  <c r="I410" i="5"/>
  <c r="F410" i="5"/>
  <c r="E410" i="5"/>
  <c r="X410" i="5" s="1"/>
  <c r="R382" i="5"/>
  <c r="J382" i="5"/>
  <c r="H382" i="5"/>
  <c r="F382" i="5"/>
  <c r="E382" i="5"/>
  <c r="X382" i="5" s="1"/>
  <c r="I382" i="5"/>
  <c r="G421" i="5"/>
  <c r="G398" i="5"/>
  <c r="R493" i="5"/>
  <c r="J493" i="5"/>
  <c r="I493" i="5"/>
  <c r="H493" i="5"/>
  <c r="F493" i="5"/>
  <c r="E493" i="5"/>
  <c r="X493" i="5" s="1"/>
  <c r="E627" i="5"/>
  <c r="X627" i="5" s="1"/>
  <c r="R627" i="5"/>
  <c r="I627" i="5"/>
  <c r="J627" i="5"/>
  <c r="H627" i="5"/>
  <c r="F627" i="5"/>
  <c r="R445" i="5"/>
  <c r="J445" i="5"/>
  <c r="I445" i="5"/>
  <c r="H445" i="5"/>
  <c r="F445" i="5"/>
  <c r="E445" i="5"/>
  <c r="X445" i="5" s="1"/>
  <c r="G524" i="5"/>
  <c r="I361" i="5"/>
  <c r="H361" i="5"/>
  <c r="F361" i="5"/>
  <c r="E361" i="5"/>
  <c r="X361" i="5" s="1"/>
  <c r="J361" i="5"/>
  <c r="R361" i="5"/>
  <c r="R269" i="5"/>
  <c r="R231" i="5"/>
  <c r="R87" i="5"/>
  <c r="R75" i="5"/>
  <c r="R95" i="5"/>
  <c r="R115" i="5"/>
  <c r="R71" i="5"/>
  <c r="R223" i="5"/>
  <c r="R15" i="5"/>
  <c r="R227" i="5"/>
  <c r="R103" i="5"/>
  <c r="C16" i="6"/>
  <c r="K67" i="6"/>
  <c r="D16" i="6"/>
  <c r="R1309" i="5"/>
  <c r="J1309" i="5"/>
  <c r="I1309" i="5"/>
  <c r="H1309" i="5"/>
  <c r="F1309" i="5"/>
  <c r="E1309" i="5"/>
  <c r="X1309" i="5" s="1"/>
  <c r="I1300" i="5"/>
  <c r="H1300" i="5"/>
  <c r="F1300" i="5"/>
  <c r="E1300" i="5"/>
  <c r="X1300" i="5" s="1"/>
  <c r="R1300" i="5"/>
  <c r="J1300" i="5"/>
  <c r="G1296" i="5"/>
  <c r="G1204" i="5"/>
  <c r="G1169" i="5"/>
  <c r="J1093" i="5"/>
  <c r="E1093" i="5"/>
  <c r="X1093" i="5" s="1"/>
  <c r="R1093" i="5"/>
  <c r="I1093" i="5"/>
  <c r="H1093" i="5"/>
  <c r="F1093" i="5"/>
  <c r="G1136" i="5"/>
  <c r="G1000" i="5"/>
  <c r="I1036" i="5"/>
  <c r="H1036" i="5"/>
  <c r="F1036" i="5"/>
  <c r="J1036" i="5"/>
  <c r="E1036" i="5"/>
  <c r="X1036" i="5" s="1"/>
  <c r="R1036" i="5"/>
  <c r="I1020" i="5"/>
  <c r="H1020" i="5"/>
  <c r="F1020" i="5"/>
  <c r="R1020" i="5"/>
  <c r="J1020" i="5"/>
  <c r="E1020" i="5"/>
  <c r="X1020" i="5" s="1"/>
  <c r="E832" i="5"/>
  <c r="X832" i="5" s="1"/>
  <c r="R832" i="5"/>
  <c r="J832" i="5"/>
  <c r="I832" i="5"/>
  <c r="H832" i="5"/>
  <c r="F832" i="5"/>
  <c r="G819" i="5"/>
  <c r="G899" i="5"/>
  <c r="G835" i="5"/>
  <c r="R828" i="5"/>
  <c r="J828" i="5"/>
  <c r="I828" i="5"/>
  <c r="H828" i="5"/>
  <c r="F828" i="5"/>
  <c r="E828" i="5"/>
  <c r="X828" i="5" s="1"/>
  <c r="F686" i="5"/>
  <c r="E686" i="5"/>
  <c r="X686" i="5" s="1"/>
  <c r="R686" i="5"/>
  <c r="J686" i="5"/>
  <c r="I686" i="5"/>
  <c r="H686" i="5"/>
  <c r="H684" i="5"/>
  <c r="F684" i="5"/>
  <c r="E684" i="5"/>
  <c r="X684" i="5" s="1"/>
  <c r="R684" i="5"/>
  <c r="J684" i="5"/>
  <c r="I684" i="5"/>
  <c r="G681" i="5"/>
  <c r="G669" i="5"/>
  <c r="G649" i="5"/>
  <c r="I613" i="5"/>
  <c r="R613" i="5"/>
  <c r="J613" i="5"/>
  <c r="H613" i="5"/>
  <c r="F613" i="5"/>
  <c r="E613" i="5"/>
  <c r="X613" i="5" s="1"/>
  <c r="R592" i="5"/>
  <c r="J592" i="5"/>
  <c r="I592" i="5"/>
  <c r="H592" i="5"/>
  <c r="F592" i="5"/>
  <c r="E592" i="5"/>
  <c r="X592" i="5" s="1"/>
  <c r="G556" i="5"/>
  <c r="H1332" i="5"/>
  <c r="I1332" i="5"/>
  <c r="F1332" i="5"/>
  <c r="E1332" i="5"/>
  <c r="X1332" i="5" s="1"/>
  <c r="R1332" i="5"/>
  <c r="J1332" i="5"/>
  <c r="I500" i="5"/>
  <c r="H500" i="5"/>
  <c r="F500" i="5"/>
  <c r="R500" i="5"/>
  <c r="J500" i="5"/>
  <c r="E500" i="5"/>
  <c r="X500" i="5" s="1"/>
  <c r="G448" i="5"/>
  <c r="I393" i="5"/>
  <c r="H393" i="5"/>
  <c r="F393" i="5"/>
  <c r="E393" i="5"/>
  <c r="X393" i="5" s="1"/>
  <c r="J393" i="5"/>
  <c r="R393" i="5"/>
  <c r="G378" i="5"/>
  <c r="R321" i="5"/>
  <c r="R63" i="5"/>
  <c r="A26" i="6"/>
  <c r="B70" i="4"/>
  <c r="A51" i="6" s="1"/>
  <c r="B52" i="4"/>
  <c r="A36" i="6" s="1"/>
  <c r="B58" i="4"/>
  <c r="A41" i="6" s="1"/>
  <c r="B64" i="4"/>
  <c r="A46" i="6" s="1"/>
  <c r="A14" i="6"/>
  <c r="B32" i="4"/>
  <c r="A19" i="6" s="1"/>
  <c r="D15" i="6"/>
  <c r="C15" i="6"/>
  <c r="K66" i="6"/>
  <c r="H1348" i="5"/>
  <c r="I1348" i="5"/>
  <c r="F1348" i="5"/>
  <c r="E1348" i="5"/>
  <c r="X1348" i="5" s="1"/>
  <c r="R1348" i="5"/>
  <c r="J1348" i="5"/>
  <c r="H1363" i="5"/>
  <c r="I1363" i="5"/>
  <c r="F1363" i="5"/>
  <c r="R1363" i="5"/>
  <c r="J1363" i="5"/>
  <c r="E1363" i="5"/>
  <c r="X1363" i="5" s="1"/>
  <c r="F1279" i="5"/>
  <c r="E1279" i="5"/>
  <c r="X1279" i="5" s="1"/>
  <c r="I1279" i="5"/>
  <c r="H1279" i="5"/>
  <c r="R1279" i="5"/>
  <c r="J1279" i="5"/>
  <c r="H1355" i="5"/>
  <c r="I1355" i="5"/>
  <c r="F1355" i="5"/>
  <c r="R1355" i="5"/>
  <c r="J1355" i="5"/>
  <c r="E1355" i="5"/>
  <c r="X1355" i="5" s="1"/>
  <c r="G1344" i="5"/>
  <c r="H1367" i="5"/>
  <c r="F1367" i="5"/>
  <c r="I1367" i="5"/>
  <c r="E1367" i="5"/>
  <c r="X1367" i="5" s="1"/>
  <c r="R1367" i="5"/>
  <c r="J1367" i="5"/>
  <c r="H1220" i="5"/>
  <c r="F1220" i="5"/>
  <c r="E1220" i="5"/>
  <c r="X1220" i="5" s="1"/>
  <c r="R1220" i="5"/>
  <c r="J1220" i="5"/>
  <c r="I1220" i="5"/>
  <c r="H1212" i="5"/>
  <c r="F1212" i="5"/>
  <c r="E1212" i="5"/>
  <c r="X1212" i="5" s="1"/>
  <c r="R1212" i="5"/>
  <c r="I1212" i="5"/>
  <c r="J1212" i="5"/>
  <c r="J1205" i="5"/>
  <c r="I1205" i="5"/>
  <c r="H1205" i="5"/>
  <c r="E1205" i="5"/>
  <c r="X1205" i="5" s="1"/>
  <c r="R1205" i="5"/>
  <c r="F1205" i="5"/>
  <c r="I1160" i="5"/>
  <c r="R1160" i="5"/>
  <c r="J1160" i="5"/>
  <c r="H1160" i="5"/>
  <c r="F1160" i="5"/>
  <c r="E1160" i="5"/>
  <c r="X1160" i="5" s="1"/>
  <c r="H1127" i="5"/>
  <c r="F1127" i="5"/>
  <c r="E1127" i="5"/>
  <c r="X1127" i="5" s="1"/>
  <c r="R1127" i="5"/>
  <c r="I1127" i="5"/>
  <c r="J1127" i="5"/>
  <c r="I1044" i="5"/>
  <c r="H1044" i="5"/>
  <c r="F1044" i="5"/>
  <c r="R1044" i="5"/>
  <c r="J1044" i="5"/>
  <c r="E1044" i="5"/>
  <c r="X1044" i="5" s="1"/>
  <c r="G1153" i="5"/>
  <c r="F935" i="5"/>
  <c r="E935" i="5"/>
  <c r="X935" i="5" s="1"/>
  <c r="R935" i="5"/>
  <c r="J935" i="5"/>
  <c r="I935" i="5"/>
  <c r="H935" i="5"/>
  <c r="H1088" i="5"/>
  <c r="E1088" i="5"/>
  <c r="X1088" i="5" s="1"/>
  <c r="R1088" i="5"/>
  <c r="J1088" i="5"/>
  <c r="I1088" i="5"/>
  <c r="F1088" i="5"/>
  <c r="J997" i="5"/>
  <c r="I997" i="5"/>
  <c r="H997" i="5"/>
  <c r="R997" i="5"/>
  <c r="F997" i="5"/>
  <c r="E997" i="5"/>
  <c r="X997" i="5" s="1"/>
  <c r="I972" i="5"/>
  <c r="H972" i="5"/>
  <c r="F972" i="5"/>
  <c r="R972" i="5"/>
  <c r="J972" i="5"/>
  <c r="E972" i="5"/>
  <c r="X972" i="5" s="1"/>
  <c r="I1052" i="5"/>
  <c r="H1052" i="5"/>
  <c r="F1052" i="5"/>
  <c r="R1052" i="5"/>
  <c r="J1052" i="5"/>
  <c r="E1052" i="5"/>
  <c r="X1052" i="5" s="1"/>
  <c r="I823" i="5"/>
  <c r="H823" i="5"/>
  <c r="F823" i="5"/>
  <c r="E823" i="5"/>
  <c r="X823" i="5" s="1"/>
  <c r="R823" i="5"/>
  <c r="J823" i="5"/>
  <c r="F737" i="5"/>
  <c r="E737" i="5"/>
  <c r="X737" i="5" s="1"/>
  <c r="R737" i="5"/>
  <c r="J737" i="5"/>
  <c r="I737" i="5"/>
  <c r="H737" i="5"/>
  <c r="I730" i="5"/>
  <c r="H730" i="5"/>
  <c r="F730" i="5"/>
  <c r="R730" i="5"/>
  <c r="J730" i="5"/>
  <c r="E730" i="5"/>
  <c r="X730" i="5" s="1"/>
  <c r="I807" i="5"/>
  <c r="H807" i="5"/>
  <c r="F807" i="5"/>
  <c r="R807" i="5"/>
  <c r="J807" i="5"/>
  <c r="E807" i="5"/>
  <c r="X807" i="5" s="1"/>
  <c r="I795" i="5"/>
  <c r="H795" i="5"/>
  <c r="F795" i="5"/>
  <c r="R795" i="5"/>
  <c r="J795" i="5"/>
  <c r="E795" i="5"/>
  <c r="X795" i="5" s="1"/>
  <c r="R711" i="5"/>
  <c r="I711" i="5"/>
  <c r="F711" i="5"/>
  <c r="E711" i="5"/>
  <c r="X711" i="5" s="1"/>
  <c r="J711" i="5"/>
  <c r="H711" i="5"/>
  <c r="G711" i="5"/>
  <c r="H668" i="5"/>
  <c r="F668" i="5"/>
  <c r="E668" i="5"/>
  <c r="X668" i="5" s="1"/>
  <c r="R668" i="5"/>
  <c r="J668" i="5"/>
  <c r="I668" i="5"/>
  <c r="I691" i="5"/>
  <c r="H691" i="5"/>
  <c r="F691" i="5"/>
  <c r="E691" i="5"/>
  <c r="X691" i="5" s="1"/>
  <c r="J691" i="5"/>
  <c r="R691" i="5"/>
  <c r="R859" i="5"/>
  <c r="J859" i="5"/>
  <c r="I859" i="5"/>
  <c r="H859" i="5"/>
  <c r="F859" i="5"/>
  <c r="E859" i="5"/>
  <c r="X859" i="5" s="1"/>
  <c r="R879" i="5"/>
  <c r="J879" i="5"/>
  <c r="I879" i="5"/>
  <c r="H879" i="5"/>
  <c r="F879" i="5"/>
  <c r="E879" i="5"/>
  <c r="X879" i="5" s="1"/>
  <c r="E623" i="5"/>
  <c r="X623" i="5" s="1"/>
  <c r="I623" i="5"/>
  <c r="R623" i="5"/>
  <c r="J623" i="5"/>
  <c r="H623" i="5"/>
  <c r="G623" i="5"/>
  <c r="F623" i="5"/>
  <c r="R891" i="5"/>
  <c r="J891" i="5"/>
  <c r="I891" i="5"/>
  <c r="H891" i="5"/>
  <c r="F891" i="5"/>
  <c r="E891" i="5"/>
  <c r="X891" i="5" s="1"/>
  <c r="R516" i="5"/>
  <c r="J516" i="5"/>
  <c r="I516" i="5"/>
  <c r="H516" i="5"/>
  <c r="F516" i="5"/>
  <c r="E516" i="5"/>
  <c r="X516" i="5" s="1"/>
  <c r="R735" i="5"/>
  <c r="J735" i="5"/>
  <c r="I735" i="5"/>
  <c r="H735" i="5"/>
  <c r="F735" i="5"/>
  <c r="E735" i="5"/>
  <c r="X735" i="5" s="1"/>
  <c r="R608" i="5"/>
  <c r="J608" i="5"/>
  <c r="I608" i="5"/>
  <c r="H608" i="5"/>
  <c r="F608" i="5"/>
  <c r="E608" i="5"/>
  <c r="X608" i="5" s="1"/>
  <c r="E611" i="5"/>
  <c r="X611" i="5" s="1"/>
  <c r="R611" i="5"/>
  <c r="J611" i="5"/>
  <c r="I611" i="5"/>
  <c r="H611" i="5"/>
  <c r="F611" i="5"/>
  <c r="I484" i="5"/>
  <c r="H484" i="5"/>
  <c r="F484" i="5"/>
  <c r="R484" i="5"/>
  <c r="J484" i="5"/>
  <c r="E484" i="5"/>
  <c r="X484" i="5" s="1"/>
  <c r="I452" i="5"/>
  <c r="H452" i="5"/>
  <c r="F452" i="5"/>
  <c r="R452" i="5"/>
  <c r="J452" i="5"/>
  <c r="E452" i="5"/>
  <c r="X452" i="5" s="1"/>
  <c r="I377" i="5"/>
  <c r="H377" i="5"/>
  <c r="F377" i="5"/>
  <c r="E377" i="5"/>
  <c r="X377" i="5" s="1"/>
  <c r="J377" i="5"/>
  <c r="R377" i="5"/>
  <c r="R477" i="5"/>
  <c r="J477" i="5"/>
  <c r="I477" i="5"/>
  <c r="H477" i="5"/>
  <c r="F477" i="5"/>
  <c r="E477" i="5"/>
  <c r="X477" i="5" s="1"/>
  <c r="X334" i="5"/>
  <c r="R334" i="5"/>
  <c r="R329" i="5"/>
  <c r="R79" i="5"/>
  <c r="R254" i="5"/>
  <c r="R67" i="5"/>
  <c r="R127" i="5"/>
  <c r="R83" i="5"/>
  <c r="A16" i="6"/>
  <c r="B34" i="4"/>
  <c r="A21" i="6" s="1"/>
  <c r="F44" i="6"/>
  <c r="H44" i="6" s="1"/>
  <c r="D44" i="6" s="1"/>
  <c r="F34" i="6"/>
  <c r="F39" i="6"/>
  <c r="F65" i="6"/>
  <c r="F49" i="6"/>
  <c r="F29" i="6"/>
  <c r="G1348" i="5"/>
  <c r="G1363" i="5"/>
  <c r="G1299" i="5"/>
  <c r="F1307" i="5"/>
  <c r="E1307" i="5"/>
  <c r="X1307" i="5" s="1"/>
  <c r="R1307" i="5"/>
  <c r="J1307" i="5"/>
  <c r="I1307" i="5"/>
  <c r="H1307" i="5"/>
  <c r="D6" i="6"/>
  <c r="C6" i="6"/>
  <c r="G1355" i="5"/>
  <c r="H1312" i="5"/>
  <c r="I1312" i="5"/>
  <c r="F1312" i="5"/>
  <c r="E1312" i="5"/>
  <c r="X1312" i="5" s="1"/>
  <c r="R1312" i="5"/>
  <c r="J1312" i="5"/>
  <c r="J1373" i="5"/>
  <c r="I1373" i="5"/>
  <c r="H1373" i="5"/>
  <c r="R1373" i="5"/>
  <c r="F1373" i="5"/>
  <c r="E1373" i="5"/>
  <c r="I1292" i="5"/>
  <c r="H1292" i="5"/>
  <c r="F1292" i="5"/>
  <c r="E1292" i="5"/>
  <c r="X1292" i="5" s="1"/>
  <c r="R1292" i="5"/>
  <c r="J1292" i="5"/>
  <c r="H1268" i="5"/>
  <c r="R1268" i="5"/>
  <c r="J1268" i="5"/>
  <c r="I1268" i="5"/>
  <c r="F1268" i="5"/>
  <c r="E1268" i="5"/>
  <c r="X1268" i="5" s="1"/>
  <c r="G1367" i="5"/>
  <c r="F1229" i="5"/>
  <c r="R1229" i="5"/>
  <c r="J1229" i="5"/>
  <c r="I1229" i="5"/>
  <c r="E1229" i="5"/>
  <c r="X1229" i="5" s="1"/>
  <c r="H1229" i="5"/>
  <c r="H1254" i="5"/>
  <c r="F1254" i="5"/>
  <c r="J1254" i="5"/>
  <c r="I1254" i="5"/>
  <c r="E1254" i="5"/>
  <c r="X1254" i="5" s="1"/>
  <c r="R1254" i="5"/>
  <c r="H1238" i="5"/>
  <c r="F1238" i="5"/>
  <c r="J1238" i="5"/>
  <c r="I1238" i="5"/>
  <c r="E1238" i="5"/>
  <c r="X1238" i="5" s="1"/>
  <c r="R1238" i="5"/>
  <c r="G1220" i="5"/>
  <c r="E1152" i="5"/>
  <c r="X1152" i="5" s="1"/>
  <c r="R1152" i="5"/>
  <c r="J1152" i="5"/>
  <c r="H1152" i="5"/>
  <c r="I1152" i="5"/>
  <c r="G1152" i="5"/>
  <c r="F1152" i="5"/>
  <c r="G1212" i="5"/>
  <c r="G1205" i="5"/>
  <c r="G1160" i="5"/>
  <c r="J1261" i="5"/>
  <c r="I1261" i="5"/>
  <c r="R1261" i="5"/>
  <c r="H1261" i="5"/>
  <c r="F1261" i="5"/>
  <c r="E1261" i="5"/>
  <c r="X1261" i="5" s="1"/>
  <c r="H1107" i="5"/>
  <c r="F1107" i="5"/>
  <c r="R1107" i="5"/>
  <c r="J1107" i="5"/>
  <c r="I1107" i="5"/>
  <c r="E1107" i="5"/>
  <c r="X1107" i="5" s="1"/>
  <c r="G1127" i="5"/>
  <c r="J1108" i="5"/>
  <c r="I1108" i="5"/>
  <c r="H1108" i="5"/>
  <c r="E1108" i="5"/>
  <c r="X1108" i="5" s="1"/>
  <c r="F1108" i="5"/>
  <c r="G1108" i="5"/>
  <c r="R1108" i="5"/>
  <c r="G1044" i="5"/>
  <c r="J1060" i="5"/>
  <c r="I1060" i="5"/>
  <c r="H1060" i="5"/>
  <c r="F1060" i="5"/>
  <c r="E1060" i="5"/>
  <c r="X1060" i="5" s="1"/>
  <c r="R1060" i="5"/>
  <c r="I1040" i="5"/>
  <c r="H1040" i="5"/>
  <c r="F1040" i="5"/>
  <c r="E1040" i="5"/>
  <c r="X1040" i="5" s="1"/>
  <c r="R1040" i="5"/>
  <c r="J1040" i="5"/>
  <c r="F983" i="5"/>
  <c r="E983" i="5"/>
  <c r="X983" i="5" s="1"/>
  <c r="I983" i="5"/>
  <c r="H983" i="5"/>
  <c r="R983" i="5"/>
  <c r="J983" i="5"/>
  <c r="F967" i="5"/>
  <c r="E967" i="5"/>
  <c r="X967" i="5" s="1"/>
  <c r="I967" i="5"/>
  <c r="H967" i="5"/>
  <c r="R967" i="5"/>
  <c r="J967" i="5"/>
  <c r="I1024" i="5"/>
  <c r="H1024" i="5"/>
  <c r="F1024" i="5"/>
  <c r="R1024" i="5"/>
  <c r="J1024" i="5"/>
  <c r="E1024" i="5"/>
  <c r="X1024" i="5" s="1"/>
  <c r="R1021" i="5"/>
  <c r="J1021" i="5"/>
  <c r="I1021" i="5"/>
  <c r="H1021" i="5"/>
  <c r="F1021" i="5"/>
  <c r="E1021" i="5"/>
  <c r="X1021" i="5" s="1"/>
  <c r="G935" i="5"/>
  <c r="I984" i="5"/>
  <c r="H984" i="5"/>
  <c r="F984" i="5"/>
  <c r="R984" i="5"/>
  <c r="J984" i="5"/>
  <c r="E984" i="5"/>
  <c r="X984" i="5" s="1"/>
  <c r="G972" i="5"/>
  <c r="R945" i="5"/>
  <c r="J945" i="5"/>
  <c r="H945" i="5"/>
  <c r="G945" i="5"/>
  <c r="F945" i="5"/>
  <c r="E945" i="5"/>
  <c r="X945" i="5" s="1"/>
  <c r="I945" i="5"/>
  <c r="G1052" i="5"/>
  <c r="I926" i="5"/>
  <c r="H926" i="5"/>
  <c r="F926" i="5"/>
  <c r="E926" i="5"/>
  <c r="X926" i="5" s="1"/>
  <c r="R926" i="5"/>
  <c r="J926" i="5"/>
  <c r="R839" i="5"/>
  <c r="J839" i="5"/>
  <c r="I839" i="5"/>
  <c r="H839" i="5"/>
  <c r="F839" i="5"/>
  <c r="E839" i="5"/>
  <c r="X839" i="5" s="1"/>
  <c r="G823" i="5"/>
  <c r="F733" i="5"/>
  <c r="E733" i="5"/>
  <c r="X733" i="5" s="1"/>
  <c r="J733" i="5"/>
  <c r="H733" i="5"/>
  <c r="R733" i="5"/>
  <c r="I733" i="5"/>
  <c r="G730" i="5"/>
  <c r="I746" i="5"/>
  <c r="H746" i="5"/>
  <c r="F746" i="5"/>
  <c r="E746" i="5"/>
  <c r="X746" i="5" s="1"/>
  <c r="R746" i="5"/>
  <c r="J746" i="5"/>
  <c r="I726" i="5"/>
  <c r="H726" i="5"/>
  <c r="F726" i="5"/>
  <c r="R726" i="5"/>
  <c r="J726" i="5"/>
  <c r="E726" i="5"/>
  <c r="X726" i="5" s="1"/>
  <c r="G807" i="5"/>
  <c r="G668" i="5"/>
  <c r="I706" i="5"/>
  <c r="F706" i="5"/>
  <c r="E706" i="5"/>
  <c r="X706" i="5" s="1"/>
  <c r="R706" i="5"/>
  <c r="J706" i="5"/>
  <c r="H706" i="5"/>
  <c r="G689" i="5"/>
  <c r="H664" i="5"/>
  <c r="F664" i="5"/>
  <c r="E664" i="5"/>
  <c r="X664" i="5" s="1"/>
  <c r="R664" i="5"/>
  <c r="J664" i="5"/>
  <c r="I664" i="5"/>
  <c r="I799" i="5"/>
  <c r="H799" i="5"/>
  <c r="F799" i="5"/>
  <c r="R799" i="5"/>
  <c r="J799" i="5"/>
  <c r="E799" i="5"/>
  <c r="X799" i="5" s="1"/>
  <c r="E773" i="5"/>
  <c r="X773" i="5" s="1"/>
  <c r="J773" i="5"/>
  <c r="R773" i="5"/>
  <c r="I773" i="5"/>
  <c r="H773" i="5"/>
  <c r="F773" i="5"/>
  <c r="G859" i="5"/>
  <c r="G879" i="5"/>
  <c r="R620" i="5"/>
  <c r="E620" i="5"/>
  <c r="X620" i="5" s="1"/>
  <c r="J620" i="5"/>
  <c r="I620" i="5"/>
  <c r="F620" i="5"/>
  <c r="H620" i="5"/>
  <c r="G891" i="5"/>
  <c r="I617" i="5"/>
  <c r="E617" i="5"/>
  <c r="X617" i="5" s="1"/>
  <c r="G617" i="5"/>
  <c r="F617" i="5"/>
  <c r="R617" i="5"/>
  <c r="H617" i="5"/>
  <c r="J617" i="5"/>
  <c r="I607" i="5"/>
  <c r="H607" i="5"/>
  <c r="F607" i="5"/>
  <c r="E607" i="5"/>
  <c r="X607" i="5" s="1"/>
  <c r="R607" i="5"/>
  <c r="J607" i="5"/>
  <c r="I591" i="5"/>
  <c r="H591" i="5"/>
  <c r="F591" i="5"/>
  <c r="E591" i="5"/>
  <c r="X591" i="5" s="1"/>
  <c r="R591" i="5"/>
  <c r="J591" i="5"/>
  <c r="I575" i="5"/>
  <c r="H575" i="5"/>
  <c r="F575" i="5"/>
  <c r="E575" i="5"/>
  <c r="X575" i="5" s="1"/>
  <c r="R575" i="5"/>
  <c r="J575" i="5"/>
  <c r="I559" i="5"/>
  <c r="H559" i="5"/>
  <c r="F559" i="5"/>
  <c r="E559" i="5"/>
  <c r="X559" i="5" s="1"/>
  <c r="R559" i="5"/>
  <c r="J559" i="5"/>
  <c r="I543" i="5"/>
  <c r="H543" i="5"/>
  <c r="F543" i="5"/>
  <c r="E543" i="5"/>
  <c r="X543" i="5" s="1"/>
  <c r="R543" i="5"/>
  <c r="J543" i="5"/>
  <c r="I527" i="5"/>
  <c r="H527" i="5"/>
  <c r="F527" i="5"/>
  <c r="E527" i="5"/>
  <c r="X527" i="5" s="1"/>
  <c r="R527" i="5"/>
  <c r="J527" i="5"/>
  <c r="I511" i="5"/>
  <c r="H511" i="5"/>
  <c r="F511" i="5"/>
  <c r="E511" i="5"/>
  <c r="X511" i="5" s="1"/>
  <c r="R511" i="5"/>
  <c r="J511" i="5"/>
  <c r="F495" i="5"/>
  <c r="E495" i="5"/>
  <c r="X495" i="5" s="1"/>
  <c r="R495" i="5"/>
  <c r="J495" i="5"/>
  <c r="I495" i="5"/>
  <c r="H495" i="5"/>
  <c r="F479" i="5"/>
  <c r="E479" i="5"/>
  <c r="X479" i="5" s="1"/>
  <c r="R479" i="5"/>
  <c r="J479" i="5"/>
  <c r="I479" i="5"/>
  <c r="H479" i="5"/>
  <c r="F463" i="5"/>
  <c r="E463" i="5"/>
  <c r="X463" i="5" s="1"/>
  <c r="R463" i="5"/>
  <c r="J463" i="5"/>
  <c r="I463" i="5"/>
  <c r="H463" i="5"/>
  <c r="F447" i="5"/>
  <c r="E447" i="5"/>
  <c r="X447" i="5" s="1"/>
  <c r="R447" i="5"/>
  <c r="J447" i="5"/>
  <c r="I447" i="5"/>
  <c r="H447" i="5"/>
  <c r="F431" i="5"/>
  <c r="E431" i="5"/>
  <c r="X431" i="5" s="1"/>
  <c r="R431" i="5"/>
  <c r="J431" i="5"/>
  <c r="I431" i="5"/>
  <c r="H431" i="5"/>
  <c r="R727" i="5"/>
  <c r="J727" i="5"/>
  <c r="I727" i="5"/>
  <c r="H727" i="5"/>
  <c r="F727" i="5"/>
  <c r="E727" i="5"/>
  <c r="X727" i="5" s="1"/>
  <c r="G621" i="5"/>
  <c r="R520" i="5"/>
  <c r="J520" i="5"/>
  <c r="I520" i="5"/>
  <c r="H520" i="5"/>
  <c r="F520" i="5"/>
  <c r="E520" i="5"/>
  <c r="X520" i="5" s="1"/>
  <c r="H644" i="5"/>
  <c r="F644" i="5"/>
  <c r="E644" i="5"/>
  <c r="X644" i="5" s="1"/>
  <c r="R644" i="5"/>
  <c r="J644" i="5"/>
  <c r="I644" i="5"/>
  <c r="G516" i="5"/>
  <c r="G735" i="5"/>
  <c r="G608" i="5"/>
  <c r="R572" i="5"/>
  <c r="J572" i="5"/>
  <c r="I572" i="5"/>
  <c r="H572" i="5"/>
  <c r="F572" i="5"/>
  <c r="E572" i="5"/>
  <c r="X572" i="5" s="1"/>
  <c r="R508" i="5"/>
  <c r="J508" i="5"/>
  <c r="I508" i="5"/>
  <c r="H508" i="5"/>
  <c r="F508" i="5"/>
  <c r="E508" i="5"/>
  <c r="X508" i="5" s="1"/>
  <c r="J637" i="5"/>
  <c r="I637" i="5"/>
  <c r="H637" i="5"/>
  <c r="E637" i="5"/>
  <c r="X637" i="5" s="1"/>
  <c r="R637" i="5"/>
  <c r="F637" i="5"/>
  <c r="G613" i="5"/>
  <c r="R560" i="5"/>
  <c r="J560" i="5"/>
  <c r="I560" i="5"/>
  <c r="H560" i="5"/>
  <c r="F560" i="5"/>
  <c r="E560" i="5"/>
  <c r="X560" i="5" s="1"/>
  <c r="I417" i="5"/>
  <c r="H417" i="5"/>
  <c r="F417" i="5"/>
  <c r="E417" i="5"/>
  <c r="X417" i="5" s="1"/>
  <c r="R417" i="5"/>
  <c r="J417" i="5"/>
  <c r="R344" i="5"/>
  <c r="X344" i="5"/>
  <c r="G484" i="5"/>
  <c r="I472" i="5"/>
  <c r="H472" i="5"/>
  <c r="F472" i="5"/>
  <c r="R472" i="5"/>
  <c r="J472" i="5"/>
  <c r="E472" i="5"/>
  <c r="X472" i="5" s="1"/>
  <c r="G452" i="5"/>
  <c r="I440" i="5"/>
  <c r="H440" i="5"/>
  <c r="F440" i="5"/>
  <c r="R440" i="5"/>
  <c r="J440" i="5"/>
  <c r="E440" i="5"/>
  <c r="X440" i="5" s="1"/>
  <c r="H349" i="5"/>
  <c r="F349" i="5"/>
  <c r="E349" i="5"/>
  <c r="X349" i="5" s="1"/>
  <c r="I349" i="5"/>
  <c r="R349" i="5"/>
  <c r="J349" i="5"/>
  <c r="G409" i="5"/>
  <c r="R453" i="5"/>
  <c r="J453" i="5"/>
  <c r="I453" i="5"/>
  <c r="H453" i="5"/>
  <c r="F453" i="5"/>
  <c r="E453" i="5"/>
  <c r="X453" i="5" s="1"/>
  <c r="R433" i="5"/>
  <c r="J433" i="5"/>
  <c r="I433" i="5"/>
  <c r="H433" i="5"/>
  <c r="F433" i="5"/>
  <c r="E433" i="5"/>
  <c r="X433" i="5" s="1"/>
  <c r="R265" i="5"/>
  <c r="R23" i="5"/>
  <c r="R43" i="5"/>
  <c r="R51" i="5"/>
  <c r="R235" i="5"/>
  <c r="R27" i="5"/>
  <c r="T158" i="5"/>
  <c r="T67" i="5"/>
  <c r="S275" i="5"/>
  <c r="S189" i="5"/>
  <c r="T199" i="5"/>
  <c r="T163" i="5"/>
  <c r="S284" i="5"/>
  <c r="S160" i="5"/>
  <c r="S73" i="5"/>
  <c r="S238" i="5"/>
  <c r="S226" i="5"/>
  <c r="S242" i="5"/>
  <c r="T211" i="5"/>
  <c r="T109" i="5"/>
  <c r="S33" i="5"/>
  <c r="T325" i="5"/>
  <c r="S149" i="5"/>
  <c r="S68" i="5"/>
  <c r="S141" i="5"/>
  <c r="S148" i="5"/>
  <c r="S213" i="5"/>
  <c r="T196" i="5"/>
  <c r="T130" i="5"/>
  <c r="T261" i="5"/>
  <c r="T318" i="5"/>
  <c r="T119" i="5"/>
  <c r="S173" i="5"/>
  <c r="S241" i="5"/>
  <c r="T265" i="5"/>
  <c r="S161" i="5"/>
  <c r="T91" i="5"/>
  <c r="T223" i="5"/>
  <c r="S222" i="5"/>
  <c r="T75" i="5"/>
  <c r="T203" i="5"/>
  <c r="S247" i="5"/>
  <c r="T126" i="5"/>
  <c r="S81" i="5"/>
  <c r="S77" i="5"/>
  <c r="S314" i="5"/>
  <c r="S200" i="5"/>
  <c r="S5" i="5"/>
  <c r="S188" i="5"/>
  <c r="T245" i="5"/>
  <c r="T115" i="5"/>
  <c r="T71" i="5"/>
  <c r="T239" i="5"/>
  <c r="S185" i="5"/>
  <c r="S234" i="5"/>
  <c r="T103" i="5"/>
  <c r="T281" i="5"/>
  <c r="T131" i="5"/>
  <c r="S100" i="5"/>
  <c r="S69" i="5"/>
  <c r="S244" i="5"/>
  <c r="T282" i="5"/>
  <c r="T207" i="5"/>
  <c r="S32" i="5"/>
  <c r="T31" i="5"/>
  <c r="S11" i="5"/>
  <c r="T191" i="5"/>
  <c r="T104" i="5"/>
  <c r="T313" i="5"/>
  <c r="S302" i="5"/>
  <c r="T326" i="5"/>
  <c r="S136" i="5"/>
  <c r="S89" i="5"/>
  <c r="T66" i="5"/>
  <c r="T18" i="5"/>
  <c r="S168" i="5"/>
  <c r="S29" i="5"/>
  <c r="S299" i="5"/>
  <c r="T107" i="5"/>
  <c r="S41" i="5"/>
  <c r="T192" i="5"/>
  <c r="T293" i="5"/>
  <c r="T183" i="5"/>
  <c r="S117" i="5"/>
  <c r="S129" i="5"/>
  <c r="S37" i="5"/>
  <c r="S64" i="5"/>
  <c r="S96" i="5"/>
  <c r="T166" i="5"/>
  <c r="S156" i="5"/>
  <c r="T255" i="5"/>
  <c r="S165" i="5"/>
  <c r="T154" i="5"/>
  <c r="T294" i="5"/>
  <c r="T249" i="5"/>
  <c r="T95" i="5"/>
  <c r="S132" i="5"/>
  <c r="T43" i="5"/>
  <c r="S85" i="5"/>
  <c r="S97" i="5"/>
  <c r="S121" i="5"/>
  <c r="T273" i="5"/>
  <c r="T171" i="5"/>
  <c r="T15" i="5"/>
  <c r="T143" i="5"/>
  <c r="T257" i="5"/>
  <c r="T215" i="5"/>
  <c r="S54" i="5"/>
  <c r="S228" i="5"/>
  <c r="S80" i="5"/>
  <c r="S157" i="5"/>
  <c r="T212" i="5"/>
  <c r="S236" i="5"/>
  <c r="T274" i="5"/>
  <c r="S253" i="5"/>
  <c r="S286" i="5"/>
  <c r="T90" i="5"/>
  <c r="S24" i="5"/>
  <c r="S246" i="5"/>
  <c r="T329" i="5"/>
  <c r="T235" i="5"/>
  <c r="S233" i="5"/>
  <c r="S153" i="5"/>
  <c r="T6" i="5"/>
  <c r="T305" i="5"/>
  <c r="S251" i="5"/>
  <c r="S278" i="5"/>
  <c r="S49" i="5"/>
  <c r="T59" i="5"/>
  <c r="T179" i="5"/>
  <c r="T297" i="5"/>
  <c r="S53" i="5"/>
  <c r="S204" i="5"/>
  <c r="T99" i="5"/>
  <c r="S36" i="5"/>
  <c r="S181" i="5"/>
  <c r="T243" i="5"/>
  <c r="S15" i="5"/>
  <c r="S298" i="5"/>
  <c r="S260" i="5"/>
  <c r="T167" i="5"/>
  <c r="T306" i="5"/>
  <c r="S268" i="5"/>
  <c r="S164" i="5"/>
  <c r="T310" i="5"/>
  <c r="T269" i="5"/>
  <c r="T35" i="5"/>
  <c r="S237" i="5"/>
  <c r="S61" i="5"/>
  <c r="S169" i="5"/>
  <c r="S294" i="5"/>
  <c r="S232" i="5"/>
  <c r="T220" i="5"/>
  <c r="T63" i="5"/>
  <c r="T19" i="5"/>
  <c r="T317" i="5"/>
  <c r="T83" i="5"/>
  <c r="T147" i="5"/>
  <c r="T79" i="5"/>
  <c r="T30" i="5"/>
  <c r="S283" i="5"/>
  <c r="T51" i="5"/>
  <c r="T231" i="5"/>
  <c r="S209" i="5"/>
  <c r="T194" i="5"/>
  <c r="S272" i="5"/>
  <c r="T309" i="5"/>
  <c r="T111" i="5"/>
  <c r="T139" i="5"/>
  <c r="S45" i="5"/>
  <c r="S22" i="5"/>
  <c r="S201" i="5"/>
  <c r="T205" i="5"/>
  <c r="T218" i="5"/>
  <c r="S193" i="5"/>
  <c r="S133" i="5"/>
  <c r="T208" i="5"/>
  <c r="T270" i="5"/>
  <c r="T229" i="5"/>
  <c r="T122" i="5"/>
  <c r="S250" i="5"/>
  <c r="S271" i="5"/>
  <c r="T87" i="5"/>
  <c r="T285" i="5"/>
  <c r="T187" i="5"/>
  <c r="T155" i="5"/>
  <c r="T175" i="5"/>
  <c r="T27" i="5"/>
  <c r="S225" i="5"/>
  <c r="S197" i="5"/>
  <c r="S101" i="5"/>
  <c r="T180" i="5"/>
  <c r="T135" i="5"/>
  <c r="S120" i="5"/>
  <c r="T127" i="5"/>
  <c r="S296" i="5"/>
  <c r="S252" i="5"/>
  <c r="T55" i="5"/>
  <c r="T47" i="5"/>
  <c r="T227" i="5"/>
  <c r="T301" i="5"/>
  <c r="T221" i="5"/>
  <c r="S56" i="5"/>
  <c r="S16" i="5"/>
  <c r="T321" i="5"/>
  <c r="S25" i="5"/>
  <c r="T202" i="5"/>
  <c r="T78" i="5"/>
  <c r="S291" i="5"/>
  <c r="S205" i="5"/>
  <c r="S48" i="5"/>
  <c r="T39" i="5"/>
  <c r="S262" i="5"/>
  <c r="T159" i="5"/>
  <c r="S146" i="5"/>
  <c r="S13" i="5"/>
  <c r="S145" i="5"/>
  <c r="T277" i="5"/>
  <c r="S258" i="5"/>
  <c r="S124" i="5"/>
  <c r="T322" i="5"/>
  <c r="T123" i="5"/>
  <c r="S288" i="5"/>
  <c r="S266" i="5"/>
  <c r="S93" i="5"/>
  <c r="S230" i="5"/>
  <c r="T254" i="5"/>
  <c r="S113" i="5"/>
  <c r="S57" i="5"/>
  <c r="T289" i="5"/>
  <c r="S216" i="5"/>
  <c r="T280" i="5"/>
  <c r="T195" i="5"/>
  <c r="S248" i="5"/>
  <c r="T290" i="5"/>
  <c r="S7" i="5"/>
  <c r="S240" i="5"/>
  <c r="S137" i="5"/>
  <c r="S327" i="5"/>
  <c r="T23" i="5"/>
  <c r="S88" i="5"/>
  <c r="S224" i="5"/>
  <c r="T106" i="5"/>
  <c r="T151" i="5"/>
  <c r="F54" i="6" l="1"/>
  <c r="F51" i="6"/>
  <c r="H51" i="6" s="1"/>
  <c r="D51" i="6" s="1"/>
  <c r="F36" i="6"/>
  <c r="H36" i="6" s="1"/>
  <c r="D36" i="6" s="1"/>
  <c r="F41" i="6"/>
  <c r="H41" i="6" s="1"/>
  <c r="D41" i="6" s="1"/>
  <c r="F46" i="6"/>
  <c r="F31" i="6"/>
  <c r="H45" i="6"/>
  <c r="D45" i="6" s="1"/>
  <c r="H29" i="6"/>
  <c r="C29" i="6" s="1"/>
  <c r="X269" i="5"/>
  <c r="X261" i="5"/>
  <c r="X55" i="5"/>
  <c r="X135" i="5"/>
  <c r="X313" i="5"/>
  <c r="X317" i="5"/>
  <c r="X255" i="5"/>
  <c r="X202" i="5"/>
  <c r="X322" i="5"/>
  <c r="X67" i="5"/>
  <c r="X95" i="5"/>
  <c r="X290" i="5"/>
  <c r="X147" i="5"/>
  <c r="X179" i="5"/>
  <c r="X211" i="5"/>
  <c r="X107" i="5"/>
  <c r="X325" i="5"/>
  <c r="X91" i="5"/>
  <c r="X277" i="5"/>
  <c r="X159" i="5"/>
  <c r="X191" i="5"/>
  <c r="X293" i="5"/>
  <c r="X66" i="5"/>
  <c r="X6" i="5"/>
  <c r="X196" i="5"/>
  <c r="X18" i="5"/>
  <c r="X235" i="5"/>
  <c r="X127" i="5"/>
  <c r="X254" i="5"/>
  <c r="X321" i="5"/>
  <c r="X103" i="5"/>
  <c r="X285" i="5"/>
  <c r="X274" i="5"/>
  <c r="X281" i="5"/>
  <c r="X243" i="5"/>
  <c r="X119" i="5"/>
  <c r="X326" i="5"/>
  <c r="X166" i="5"/>
  <c r="X280" i="5"/>
  <c r="X106" i="5"/>
  <c r="X158" i="5"/>
  <c r="X318" i="5"/>
  <c r="X23" i="5"/>
  <c r="X27" i="5"/>
  <c r="X83" i="5"/>
  <c r="X79" i="5"/>
  <c r="X223" i="5"/>
  <c r="X115" i="5"/>
  <c r="X231" i="5"/>
  <c r="X59" i="5"/>
  <c r="X123" i="5"/>
  <c r="X297" i="5"/>
  <c r="X139" i="5"/>
  <c r="X171" i="5"/>
  <c r="X203" i="5"/>
  <c r="X282" i="5"/>
  <c r="X305" i="5"/>
  <c r="X31" i="5"/>
  <c r="X151" i="5"/>
  <c r="X183" i="5"/>
  <c r="X215" i="5"/>
  <c r="X220" i="5"/>
  <c r="X192" i="5"/>
  <c r="X249" i="5"/>
  <c r="X212" i="5"/>
  <c r="X122" i="5"/>
  <c r="X109" i="5"/>
  <c r="X221" i="5"/>
  <c r="X310" i="5"/>
  <c r="X30" i="5"/>
  <c r="X63" i="5"/>
  <c r="X301" i="5"/>
  <c r="X131" i="5"/>
  <c r="X270" i="5"/>
  <c r="X245" i="5"/>
  <c r="X306" i="5"/>
  <c r="X177" i="5"/>
  <c r="X265" i="5"/>
  <c r="X227" i="5"/>
  <c r="X71" i="5"/>
  <c r="X273" i="5"/>
  <c r="X39" i="5"/>
  <c r="X163" i="5"/>
  <c r="X195" i="5"/>
  <c r="X99" i="5"/>
  <c r="X19" i="5"/>
  <c r="X143" i="5"/>
  <c r="X175" i="5"/>
  <c r="X207" i="5"/>
  <c r="X289" i="5"/>
  <c r="X309" i="5"/>
  <c r="X194" i="5"/>
  <c r="X78" i="5"/>
  <c r="X17" i="5"/>
  <c r="X104" i="5"/>
  <c r="X43" i="5"/>
  <c r="X87" i="5"/>
  <c r="X257" i="5"/>
  <c r="X47" i="5"/>
  <c r="X239" i="5"/>
  <c r="X218" i="5"/>
  <c r="X126" i="5"/>
  <c r="X130" i="5"/>
  <c r="X116" i="5"/>
  <c r="X229" i="5"/>
  <c r="X51" i="5"/>
  <c r="X329" i="5"/>
  <c r="X75" i="5"/>
  <c r="X111" i="5"/>
  <c r="X155" i="5"/>
  <c r="X187" i="5"/>
  <c r="X35" i="5"/>
  <c r="X167" i="5"/>
  <c r="X199" i="5"/>
  <c r="X176" i="5"/>
  <c r="X330" i="5"/>
  <c r="X208" i="5"/>
  <c r="X154" i="5"/>
  <c r="X180" i="5"/>
  <c r="H39" i="6"/>
  <c r="D39" i="6" s="1"/>
  <c r="H26" i="6"/>
  <c r="C26" i="6" s="1"/>
  <c r="H24" i="6"/>
  <c r="C24" i="6" s="1"/>
  <c r="H35" i="6"/>
  <c r="D35" i="6" s="1"/>
  <c r="H40" i="6"/>
  <c r="D40" i="6" s="1"/>
  <c r="H46" i="6"/>
  <c r="D46" i="6" s="1"/>
  <c r="H31" i="6"/>
  <c r="C31" i="6" s="1"/>
  <c r="H30" i="6"/>
  <c r="F69" i="6"/>
  <c r="H49" i="6"/>
  <c r="D49" i="6" s="1"/>
  <c r="H34" i="6"/>
  <c r="H32" i="6"/>
  <c r="C45" i="6"/>
  <c r="C51" i="6"/>
  <c r="D19" i="6"/>
  <c r="C19" i="6"/>
  <c r="K65" i="6"/>
  <c r="X15" i="5"/>
  <c r="D27" i="6"/>
  <c r="C27" i="6"/>
  <c r="C36" i="6"/>
  <c r="C42" i="6"/>
  <c r="C40" i="6"/>
  <c r="C41" i="6"/>
  <c r="C20" i="6"/>
  <c r="D20" i="6"/>
  <c r="C2" i="6"/>
  <c r="B2" i="6"/>
  <c r="F57" i="6"/>
  <c r="H57" i="6" s="1"/>
  <c r="H54" i="6"/>
  <c r="F62" i="6"/>
  <c r="H62" i="6" s="1"/>
  <c r="F58" i="6"/>
  <c r="H58" i="6" s="1"/>
  <c r="F60" i="6"/>
  <c r="H60" i="6" s="1"/>
  <c r="F63" i="6"/>
  <c r="H63" i="6" s="1"/>
  <c r="F59" i="6"/>
  <c r="H59" i="6" s="1"/>
  <c r="F55" i="6"/>
  <c r="C37" i="6"/>
  <c r="D25" i="6"/>
  <c r="C25" i="6"/>
  <c r="D26" i="6"/>
  <c r="D21" i="6"/>
  <c r="C21" i="6"/>
  <c r="D22" i="6"/>
  <c r="C22" i="6"/>
  <c r="H47" i="6"/>
  <c r="D47" i="6" s="1"/>
  <c r="C52" i="6"/>
  <c r="C50" i="6"/>
  <c r="C44" i="6"/>
  <c r="S39" i="5"/>
  <c r="S95" i="5"/>
  <c r="S229" i="5"/>
  <c r="S131" i="5"/>
  <c r="S122" i="5"/>
  <c r="S18" i="5"/>
  <c r="S211" i="5"/>
  <c r="S177" i="5"/>
  <c r="S305" i="5"/>
  <c r="S202" i="5"/>
  <c r="S147" i="5"/>
  <c r="S135" i="5"/>
  <c r="S106" i="5"/>
  <c r="S175" i="5"/>
  <c r="S249" i="5"/>
  <c r="S19" i="5"/>
  <c r="S329" i="5"/>
  <c r="S293" i="5"/>
  <c r="S23" i="5"/>
  <c r="S255" i="5"/>
  <c r="S289" i="5"/>
  <c r="S231" i="5"/>
  <c r="S43" i="5"/>
  <c r="S321" i="5"/>
  <c r="S220" i="5"/>
  <c r="S155" i="5"/>
  <c r="S91" i="5"/>
  <c r="S109" i="5"/>
  <c r="S192" i="5"/>
  <c r="S290" i="5"/>
  <c r="S310" i="5"/>
  <c r="S116" i="5"/>
  <c r="S104" i="5"/>
  <c r="S63" i="5"/>
  <c r="S265" i="5"/>
  <c r="S31" i="5"/>
  <c r="S47" i="5"/>
  <c r="S127" i="5"/>
  <c r="S166" i="5"/>
  <c r="S203" i="5"/>
  <c r="S154" i="5"/>
  <c r="S318" i="5"/>
  <c r="S66" i="5"/>
  <c r="S75" i="5"/>
  <c r="S83" i="5"/>
  <c r="S277" i="5"/>
  <c r="S326" i="5"/>
  <c r="S223" i="5"/>
  <c r="S297" i="5"/>
  <c r="S159" i="5"/>
  <c r="S71" i="5"/>
  <c r="S243" i="5"/>
  <c r="S285" i="5"/>
  <c r="S87" i="5"/>
  <c r="S6" i="5"/>
  <c r="S191" i="5"/>
  <c r="S208" i="5"/>
  <c r="S158" i="5"/>
  <c r="S163" i="5"/>
  <c r="S313" i="5"/>
  <c r="S115" i="5"/>
  <c r="S254" i="5"/>
  <c r="S107" i="5"/>
  <c r="S78" i="5"/>
  <c r="S171" i="5"/>
  <c r="S274" i="5"/>
  <c r="S180" i="5"/>
  <c r="S301" i="5"/>
  <c r="S273" i="5"/>
  <c r="S51" i="5"/>
  <c r="S139" i="5"/>
  <c r="S103" i="5"/>
  <c r="S261" i="5"/>
  <c r="S317" i="5"/>
  <c r="S195" i="5"/>
  <c r="S282" i="5"/>
  <c r="S99" i="5"/>
  <c r="S257" i="5"/>
  <c r="S187" i="5"/>
  <c r="S143" i="5"/>
  <c r="S245" i="5"/>
  <c r="S126" i="5"/>
  <c r="S227" i="5"/>
  <c r="S55" i="5"/>
  <c r="S215" i="5"/>
  <c r="S309" i="5"/>
  <c r="S167" i="5"/>
  <c r="S207" i="5"/>
  <c r="S221" i="5"/>
  <c r="S79" i="5"/>
  <c r="S196" i="5"/>
  <c r="S269" i="5"/>
  <c r="S330" i="5"/>
  <c r="S212" i="5"/>
  <c r="S235" i="5"/>
  <c r="S67" i="5"/>
  <c r="S281" i="5"/>
  <c r="S239" i="5"/>
  <c r="S280" i="5"/>
  <c r="S176" i="5"/>
  <c r="S151" i="5"/>
  <c r="S123" i="5"/>
  <c r="S59" i="5"/>
  <c r="S306" i="5"/>
  <c r="S130" i="5"/>
  <c r="S270" i="5"/>
  <c r="S35" i="5"/>
  <c r="S218" i="5"/>
  <c r="S322" i="5"/>
  <c r="S17" i="5"/>
  <c r="S199" i="5"/>
  <c r="S325" i="5"/>
  <c r="S194" i="5"/>
  <c r="S30" i="5"/>
  <c r="S183" i="5"/>
  <c r="S27" i="5"/>
  <c r="S119" i="5"/>
  <c r="S179" i="5"/>
  <c r="S111" i="5"/>
  <c r="D29" i="6" l="1"/>
  <c r="D24" i="6"/>
  <c r="G68" i="6"/>
  <c r="H68" i="6" s="1"/>
  <c r="D68" i="6" s="1"/>
  <c r="C39" i="6"/>
  <c r="C35" i="6"/>
  <c r="C46" i="6"/>
  <c r="C34" i="6"/>
  <c r="D34" i="6"/>
  <c r="D31" i="6"/>
  <c r="C30" i="6"/>
  <c r="D30" i="6"/>
  <c r="C32" i="6"/>
  <c r="D32" i="6"/>
  <c r="G66" i="6"/>
  <c r="H66" i="6" s="1"/>
  <c r="C66" i="6" s="1"/>
  <c r="G67" i="6"/>
  <c r="H67" i="6" s="1"/>
  <c r="D67" i="6" s="1"/>
  <c r="G65" i="6"/>
  <c r="H65" i="6" s="1"/>
  <c r="C65" i="6" s="1"/>
  <c r="C49" i="6"/>
  <c r="C47" i="6"/>
  <c r="C60" i="6"/>
  <c r="D60" i="6"/>
  <c r="D58" i="6"/>
  <c r="C58" i="6"/>
  <c r="D63" i="6"/>
  <c r="C63" i="6"/>
  <c r="C62" i="6"/>
  <c r="D62" i="6"/>
  <c r="C54" i="6"/>
  <c r="D54" i="6"/>
  <c r="D57" i="6"/>
  <c r="C57" i="6"/>
  <c r="F56" i="6"/>
  <c r="H56" i="6" s="1"/>
  <c r="H55" i="6"/>
  <c r="D59" i="6"/>
  <c r="C59" i="6"/>
  <c r="C68" i="6" l="1"/>
  <c r="D65" i="6"/>
  <c r="D66" i="6"/>
  <c r="C67" i="6"/>
  <c r="G69" i="6"/>
  <c r="D55" i="6"/>
  <c r="C55" i="6"/>
  <c r="D56" i="6"/>
  <c r="C56" i="6"/>
  <c r="H69" i="6" l="1"/>
  <c r="H70" i="6" s="1"/>
  <c r="D2" i="6" s="1"/>
  <c r="C69"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<sst xmlns="http://schemas.openxmlformats.org/spreadsheetml/2006/main" count="26004" uniqueCount="16812">
  <si>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</si>
  <si>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</si>
  <si>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</si>
  <si>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</si>
  <si>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</si>
  <si>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</si>
  <si>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</si>
  <si>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</si>
  <si>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</si>
  <si>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</si>
  <si>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</si>
  <si>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</si>
  <si>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</si>
  <si>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</si>
  <si>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</si>
  <si>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</si>
  <si>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</si>
  <si>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</si>
  <si>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</si>
  <si>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</si>
  <si>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</si>
  <si>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</si>
  <si>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</si>
  <si>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</si>
  <si>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</si>
  <si>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</si>
  <si>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</si>
  <si>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</si>
  <si>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</si>
  <si>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</si>
  <si>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</si>
  <si>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</si>
  <si>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</si>
  <si>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</si>
  <si>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</si>
  <si>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</si>
  <si>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</si>
  <si>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</si>
  <si>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</si>
  <si>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</si>
  <si>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</si>
  <si>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</si>
  <si>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</si>
  <si>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</si>
  <si>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</si>
  <si>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</si>
  <si>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</si>
  <si>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</si>
  <si>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</si>
  <si>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</si>
  <si>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</si>
  <si>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</si>
  <si>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</si>
  <si>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</si>
  <si>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</si>
  <si>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</si>
  <si>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</si>
  <si>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</si>
  <si>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</si>
  <si>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</si>
  <si>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</si>
  <si>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</si>
  <si>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</si>
  <si>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</si>
  <si>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</si>
  <si>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</si>
  <si>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</si>
  <si>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</si>
  <si>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</si>
  <si>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</si>
  <si>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</si>
  <si>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</si>
  <si>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</si>
  <si>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</si>
  <si>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</si>
  <si>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</si>
  <si>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</si>
  <si>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</si>
  <si>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</si>
  <si>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</si>
  <si>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</si>
  <si>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</si>
  <si>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</si>
  <si>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</si>
  <si>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</si>
  <si>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</si>
  <si>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</si>
  <si>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</si>
  <si>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</si>
  <si>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</si>
  <si>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</si>
  <si>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</si>
  <si>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</si>
  <si>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</si>
  <si>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</si>
  <si>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</si>
  <si>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</si>
  <si>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</si>
  <si>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</si>
  <si>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</si>
  <si>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</si>
  <si>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</si>
  <si>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</si>
  <si>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</si>
  <si>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</si>
  <si>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</si>
  <si>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</si>
  <si>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</si>
  <si>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</si>
  <si>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</si>
  <si>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</si>
  <si>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</si>
  <si>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</si>
  <si>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</si>
  <si>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</si>
  <si>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</si>
  <si>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</si>
  <si>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</si>
  <si>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</si>
  <si>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</si>
  <si>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</si>
  <si>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</si>
  <si>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</si>
  <si>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</si>
  <si>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</si>
  <si>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</si>
  <si>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</si>
  <si>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</si>
  <si>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</si>
  <si>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</si>
  <si>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</si>
  <si>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</si>
  <si>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</si>
  <si>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</si>
  <si>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</si>
  <si>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</si>
  <si>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</si>
  <si>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</si>
  <si>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</si>
  <si>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</si>
  <si>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</si>
  <si>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</si>
  <si>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</si>
  <si>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</si>
  <si>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</si>
  <si>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</si>
  <si>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</si>
  <si>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</si>
  <si>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</si>
  <si>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</si>
  <si>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</si>
  <si>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</si>
  <si>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</si>
  <si>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</si>
  <si>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</si>
  <si>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</si>
  <si>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</si>
  <si>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</si>
  <si>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</si>
  <si>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</si>
  <si>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</si>
  <si>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</si>
  <si>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</si>
  <si>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</si>
  <si>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</si>
  <si>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</si>
  <si>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</si>
  <si>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</si>
  <si>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</si>
  <si>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</si>
  <si>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</si>
  <si>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</si>
  <si>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</si>
  <si>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</si>
  <si>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</si>
  <si>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</si>
  <si>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</si>
  <si>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</si>
  <si>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</si>
  <si>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</si>
  <si>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</si>
  <si>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</si>
  <si>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</si>
  <si>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</si>
  <si>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</si>
  <si>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</si>
  <si>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</si>
  <si>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</si>
  <si>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</si>
  <si>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</si>
  <si>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</si>
  <si>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</si>
  <si>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</si>
  <si>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</si>
  <si>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</si>
  <si>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</si>
  <si>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</si>
  <si>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</si>
  <si>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</si>
  <si>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</si>
  <si>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</si>
  <si>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</si>
  <si>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</si>
  <si>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</si>
  <si>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</si>
  <si>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</si>
  <si>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</si>
  <si>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</si>
  <si>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</si>
  <si>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</si>
  <si>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</si>
  <si>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</si>
  <si>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</si>
  <si>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</si>
  <si>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</si>
  <si>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</si>
  <si>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</si>
  <si>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</si>
  <si>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</si>
  <si>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</si>
  <si>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</si>
  <si>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</si>
  <si>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</si>
  <si>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</si>
  <si>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</si>
  <si>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</si>
  <si>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</si>
  <si>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</si>
  <si>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</si>
  <si>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</si>
  <si>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</si>
  <si>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</si>
  <si>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</si>
  <si>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</si>
  <si>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</si>
  <si>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</si>
  <si>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</si>
  <si>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</si>
  <si>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</si>
  <si>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</si>
  <si>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</si>
  <si>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</si>
  <si>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</si>
  <si>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</si>
  <si>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</si>
  <si>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</si>
  <si>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</si>
  <si>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</si>
  <si>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</si>
  <si>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</si>
  <si>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</si>
  <si>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</si>
  <si>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</si>
  <si>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</si>
  <si>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</si>
  <si>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</si>
  <si>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</si>
  <si>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</si>
  <si>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</si>
  <si>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</si>
  <si>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</si>
  <si>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</si>
  <si>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</si>
  <si>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</si>
  <si>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</si>
  <si>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</si>
  <si>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</si>
  <si>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</si>
  <si>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</si>
  <si>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</si>
  <si>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</si>
  <si>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</si>
  <si>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</si>
  <si>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</si>
  <si>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</si>
  <si>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</si>
  <si>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</si>
  <si>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</si>
  <si>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</si>
  <si>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</si>
  <si>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</si>
  <si>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</si>
  <si>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</si>
  <si>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</si>
  <si>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</si>
  <si>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</si>
  <si>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</si>
  <si>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</si>
  <si>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</si>
  <si>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</si>
  <si>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</si>
  <si>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</si>
  <si>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</si>
  <si>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</si>
  <si>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</si>
  <si>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</si>
  <si>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</si>
  <si>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</si>
  <si>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</si>
  <si>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</si>
  <si>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</si>
  <si>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</si>
  <si>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</si>
  <si>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</si>
  <si>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</si>
  <si>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</si>
  <si>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</si>
  <si>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</si>
  <si>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</si>
  <si>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</si>
  <si>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</si>
  <si>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</si>
  <si>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</si>
  <si>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</si>
  <si>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</si>
  <si>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</si>
  <si>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</si>
  <si>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</si>
  <si>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</si>
  <si>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</si>
  <si>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</si>
  <si>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</si>
  <si>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</si>
  <si>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</si>
  <si>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</si>
  <si>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</si>
  <si>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</si>
  <si>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</si>
  <si>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</si>
  <si>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</si>
  <si>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</si>
  <si>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</si>
  <si>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</si>
  <si>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</si>
  <si>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</si>
  <si>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</si>
  <si>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</si>
  <si>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</si>
  <si>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</si>
  <si>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</si>
  <si>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</si>
  <si>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</si>
  <si>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</si>
  <si>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</si>
  <si>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</si>
  <si>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</si>
  <si>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</si>
  <si>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</si>
  <si>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</si>
  <si>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</si>
  <si>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</si>
  <si>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</si>
  <si>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</si>
  <si>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</si>
  <si>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</si>
  <si>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</si>
  <si>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</si>
  <si>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</si>
  <si>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</si>
  <si>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</si>
  <si>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</si>
  <si>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</si>
  <si>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</si>
  <si>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</si>
  <si>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</si>
  <si>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</si>
  <si>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</si>
  <si>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</si>
  <si>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</si>
  <si>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</si>
  <si>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</si>
  <si>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</si>
  <si>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</si>
  <si>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</si>
  <si>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</si>
  <si>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</si>
  <si>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</si>
  <si>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</si>
  <si>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</si>
  <si>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</si>
  <si>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</si>
  <si>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</si>
  <si>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</si>
  <si>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</si>
  <si>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</si>
  <si>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</si>
  <si>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</si>
  <si>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</si>
  <si>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</si>
  <si>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</si>
  <si>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</si>
  <si>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</si>
  <si>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</si>
  <si>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</si>
  <si>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</si>
  <si>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</si>
  <si>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</si>
  <si>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</si>
  <si>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</si>
  <si>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</si>
  <si>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</si>
  <si>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</si>
  <si>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</si>
  <si>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</si>
  <si>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</si>
  <si>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</si>
  <si>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</si>
  <si>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</si>
  <si>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</si>
  <si>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</si>
  <si>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</si>
  <si>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</si>
  <si>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</si>
  <si>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</si>
  <si>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</si>
  <si>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</si>
  <si>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</si>
  <si>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</si>
  <si>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</si>
  <si>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</si>
  <si>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</si>
  <si>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</si>
  <si>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</si>
  <si>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</si>
  <si>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</si>
  <si>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</si>
  <si>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</si>
  <si>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</si>
  <si>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</si>
  <si>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</si>
  <si>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</si>
  <si>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</si>
  <si>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</si>
  <si>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</si>
  <si>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</si>
  <si>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</si>
  <si>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</si>
  <si>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</si>
  <si>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</si>
  <si>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</si>
  <si>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</si>
  <si>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</si>
  <si>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</si>
  <si>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</si>
  <si>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</si>
  <si>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</si>
  <si>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</si>
  <si>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</si>
  <si>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</si>
  <si>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</si>
  <si>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</si>
  <si>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</si>
  <si>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</si>
  <si>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</si>
  <si>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</si>
  <si>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</si>
  <si>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</si>
  <si>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</si>
  <si>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</si>
  <si>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</si>
  <si>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</si>
  <si>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</si>
  <si>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</si>
  <si>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</si>
  <si>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</si>
  <si>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</si>
  <si>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</si>
  <si>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</si>
  <si>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</si>
  <si>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</si>
  <si>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</si>
  <si>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</si>
  <si>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</si>
  <si>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</si>
  <si>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</si>
  <si>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</si>
  <si>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</si>
  <si>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</si>
  <si>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</si>
  <si>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</si>
  <si>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</si>
  <si>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</si>
  <si>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</si>
  <si>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</si>
  <si>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</si>
  <si>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</si>
  <si>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</si>
  <si>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</si>
  <si>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</si>
  <si>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</si>
  <si>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</si>
  <si>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</si>
  <si>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</si>
  <si>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</si>
  <si>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</si>
  <si>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</si>
  <si>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</si>
  <si>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</si>
  <si>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</si>
  <si>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</si>
  <si>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</si>
  <si>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</si>
  <si>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</si>
  <si>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</si>
  <si>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</si>
  <si>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</si>
  <si>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</si>
  <si>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</si>
  <si>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</si>
  <si>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</si>
  <si>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</si>
  <si>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</si>
  <si>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</si>
  <si>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</si>
  <si>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</si>
  <si>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</si>
  <si>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</si>
  <si>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</si>
  <si>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</si>
  <si>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</si>
  <si>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</si>
  <si>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</si>
  <si>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</si>
  <si>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</si>
  <si>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</si>
  <si>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</si>
  <si>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</si>
  <si>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</si>
  <si>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</si>
  <si>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</si>
  <si>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</si>
  <si>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</si>
  <si>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</si>
  <si>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</si>
  <si>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</si>
  <si>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</si>
  <si>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</si>
  <si>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</si>
  <si>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</si>
  <si>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</si>
  <si>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</si>
  <si>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</si>
  <si>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</si>
  <si>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</si>
  <si>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</si>
  <si>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</si>
  <si>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</si>
  <si>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</si>
  <si>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</si>
  <si>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</si>
  <si>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</si>
  <si>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</si>
  <si>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</si>
  <si>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</si>
  <si>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</si>
  <si>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</si>
  <si>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</si>
  <si>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</si>
  <si>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</si>
  <si>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</si>
  <si>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</si>
  <si>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</si>
  <si>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</si>
  <si>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</si>
  <si>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</si>
  <si>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</si>
  <si>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</si>
  <si>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</si>
  <si>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</si>
  <si>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</si>
  <si>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</si>
  <si>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</si>
  <si>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</si>
  <si>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</si>
  <si>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</si>
  <si>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</si>
  <si>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</si>
  <si>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</si>
  <si>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</si>
  <si>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</si>
  <si>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</si>
  <si>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</si>
  <si>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</si>
  <si>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</si>
  <si>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</si>
  <si>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</si>
  <si>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</si>
  <si>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</si>
  <si>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</si>
  <si>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</si>
  <si>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</si>
  <si>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</si>
  <si>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</si>
  <si>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</si>
  <si>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</si>
  <si>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</si>
  <si>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</si>
  <si>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</si>
  <si>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</si>
  <si>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</si>
  <si>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</si>
  <si>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</si>
  <si>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</si>
  <si>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</si>
  <si>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</si>
  <si>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</si>
  <si>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</si>
  <si>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</si>
  <si>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</si>
  <si>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</si>
  <si>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</si>
  <si>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</si>
  <si>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</si>
  <si>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</si>
  <si>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</si>
  <si>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</si>
  <si>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</si>
  <si>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</si>
  <si>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</si>
  <si>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</si>
  <si>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</si>
  <si>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</si>
  <si>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</si>
  <si>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</si>
  <si>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</si>
  <si>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</si>
  <si>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</si>
  <si>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</si>
  <si>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</si>
  <si>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</si>
  <si>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</si>
  <si>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</si>
  <si>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</si>
  <si>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</si>
  <si>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</si>
  <si>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</si>
  <si>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</si>
  <si>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</si>
  <si>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</si>
  <si>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</si>
  <si>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</si>
  <si>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</si>
  <si>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</si>
  <si>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</si>
  <si>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</si>
  <si>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</si>
  <si>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</si>
  <si>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</si>
  <si>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</si>
  <si>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</si>
  <si>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</si>
  <si>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</si>
  <si>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</si>
  <si>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</si>
  <si>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</si>
  <si>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</si>
  <si>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</si>
  <si>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</si>
  <si>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</si>
  <si>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</si>
  <si>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</si>
  <si>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</si>
  <si>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</si>
  <si>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</si>
  <si>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</si>
  <si>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</si>
  <si>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</si>
  <si>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</si>
  <si>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</si>
  <si>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</si>
  <si>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</si>
  <si>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</si>
  <si>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</si>
  <si>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</si>
  <si>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</si>
  <si>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</si>
  <si>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</si>
  <si>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</si>
  <si>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</si>
  <si>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</si>
  <si>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</si>
  <si>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</si>
  <si>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</si>
  <si>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</si>
  <si>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</si>
  <si>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</si>
  <si>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</si>
  <si>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</si>
  <si>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</si>
  <si>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</si>
  <si>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</si>
  <si>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</si>
  <si>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</si>
  <si>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</si>
  <si>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</si>
  <si>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</si>
  <si>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</si>
  <si>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</si>
  <si>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</si>
  <si>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</si>
  <si>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</si>
  <si>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</si>
  <si>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</si>
  <si>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</si>
  <si>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</si>
  <si>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</si>
  <si>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</si>
  <si>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</si>
  <si>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</si>
  <si>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</si>
  <si>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</si>
  <si>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</si>
  <si>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</si>
  <si>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</si>
  <si>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</si>
  <si>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</si>
  <si>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</si>
  <si>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</si>
  <si>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</si>
  <si>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</si>
  <si>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</si>
  <si>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</si>
  <si>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</si>
  <si>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</si>
  <si>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</si>
  <si>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</si>
  <si>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</si>
  <si>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</si>
  <si>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</si>
  <si>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</si>
  <si>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</si>
  <si>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</si>
  <si>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</si>
  <si>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</si>
  <si>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</si>
  <si>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</si>
  <si>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</si>
  <si>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</si>
  <si>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</si>
  <si>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</si>
  <si>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</si>
  <si>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</si>
  <si>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</si>
  <si>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</si>
  <si>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</si>
  <si>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</si>
  <si>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</si>
  <si>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</si>
  <si>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</si>
  <si>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</si>
  <si>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</si>
  <si>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</si>
  <si>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</si>
  <si>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</si>
  <si>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</si>
  <si>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</si>
  <si>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</si>
  <si>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</si>
  <si>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</si>
  <si>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</si>
  <si>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</si>
  <si>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</si>
  <si>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</si>
  <si>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</si>
  <si>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</si>
  <si>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</si>
  <si>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</si>
  <si>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</si>
  <si>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</si>
  <si>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</si>
  <si>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</si>
  <si>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</si>
  <si>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</si>
  <si>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</si>
  <si>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</si>
  <si>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</si>
  <si>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</si>
  <si>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</si>
  <si>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</si>
  <si>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</si>
  <si>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</si>
  <si>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</si>
  <si>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</si>
  <si>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</si>
  <si>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</si>
  <si>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</si>
  <si>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</si>
  <si>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</si>
  <si>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</si>
  <si>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</si>
  <si>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</si>
  <si>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</si>
  <si>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</si>
  <si>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</si>
  <si>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</si>
  <si>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</si>
  <si>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</si>
  <si>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</si>
  <si>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</si>
  <si>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</si>
  <si>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</si>
  <si>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</si>
  <si>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</si>
  <si>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</si>
  <si>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</si>
  <si>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</si>
  <si>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</si>
  <si>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</si>
  <si>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</si>
  <si>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</si>
  <si>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</si>
  <si>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</si>
  <si>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</si>
  <si>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</si>
  <si>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</si>
  <si>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</si>
  <si>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</si>
  <si>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</si>
  <si>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</si>
  <si>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</si>
  <si>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</si>
  <si>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</si>
  <si>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</si>
  <si>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</si>
  <si>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</si>
  <si>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</si>
  <si>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</si>
  <si>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</si>
  <si>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</si>
  <si>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</si>
  <si>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</si>
  <si>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</si>
  <si>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</si>
  <si>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</si>
  <si>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</si>
  <si>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</si>
  <si>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</si>
  <si>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</si>
  <si>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</si>
  <si>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</si>
  <si>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</si>
  <si>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</si>
  <si>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</si>
  <si>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</si>
  <si>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</si>
  <si>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</si>
  <si>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</si>
  <si>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</si>
  <si>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</si>
  <si>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</si>
  <si>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</si>
  <si>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</si>
  <si>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</si>
  <si>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</si>
  <si>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</si>
  <si>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</si>
  <si>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</si>
  <si>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</si>
  <si>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</si>
  <si>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</si>
  <si>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</si>
  <si>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</si>
  <si>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</si>
  <si>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</si>
  <si>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</si>
  <si>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</si>
  <si>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</si>
  <si>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</si>
  <si>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</si>
  <si>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</si>
  <si>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</si>
  <si>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</si>
  <si>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</si>
  <si>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</si>
  <si>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</si>
  <si>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</si>
  <si>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</si>
  <si>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</si>
  <si>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</si>
  <si>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</si>
  <si>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</si>
  <si>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</si>
  <si>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</si>
  <si>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</si>
  <si>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</si>
  <si>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</si>
  <si>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</si>
  <si>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</si>
  <si>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</si>
  <si>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</si>
  <si>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</si>
  <si>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</si>
  <si>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</si>
  <si>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</si>
  <si>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</si>
  <si>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</si>
  <si>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</si>
  <si>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</si>
  <si>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</si>
  <si>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</si>
  <si>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</si>
  <si>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</si>
  <si>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</si>
  <si>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</si>
  <si>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</si>
  <si>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</si>
  <si>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</si>
  <si>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</si>
  <si>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</si>
  <si>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</si>
  <si>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</si>
  <si>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</si>
  <si>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</si>
  <si>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</si>
  <si>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</si>
  <si>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</si>
  <si>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</si>
  <si>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</si>
  <si>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</si>
  <si>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</si>
  <si>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</si>
  <si>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</si>
  <si>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</si>
  <si>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</si>
  <si>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</si>
  <si>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</si>
  <si>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</si>
  <si>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</si>
  <si>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</si>
  <si>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</si>
  <si>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</si>
  <si>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</si>
  <si>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</si>
  <si>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</si>
  <si>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</si>
  <si>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</si>
  <si>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</si>
  <si>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</si>
  <si>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</si>
  <si>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</si>
  <si>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</si>
  <si>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</si>
  <si>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</si>
  <si>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</si>
  <si>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</si>
  <si>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</si>
  <si>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</si>
  <si>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</si>
  <si>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</si>
  <si>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</si>
  <si>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</si>
  <si>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</si>
  <si>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</si>
  <si>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</si>
  <si>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</si>
  <si>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</si>
  <si>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</si>
  <si>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</si>
  <si>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</si>
  <si>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</si>
  <si>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</si>
  <si>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</si>
  <si>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</si>
  <si>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</si>
  <si>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</si>
  <si>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</si>
  <si>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</si>
  <si>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</si>
  <si>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</si>
  <si>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</si>
  <si>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</si>
  <si>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</si>
  <si>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</si>
  <si>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</si>
  <si>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</si>
  <si>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</si>
  <si>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</si>
  <si>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</si>
  <si>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</si>
  <si>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</si>
  <si>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</si>
  <si>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</si>
  <si>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</si>
  <si>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</si>
  <si>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</si>
  <si>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</si>
  <si>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</si>
  <si>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</si>
  <si>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</si>
  <si>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</si>
  <si>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</si>
  <si>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</si>
  <si>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</si>
  <si>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</si>
  <si>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</si>
  <si>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</si>
  <si>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</si>
  <si>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</si>
  <si>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</si>
  <si>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</si>
  <si>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</si>
  <si>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</si>
  <si>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</si>
  <si>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</si>
  <si>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</si>
  <si>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</si>
  <si>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</si>
  <si>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</si>
  <si>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</si>
  <si>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</si>
  <si>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</si>
  <si>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</si>
  <si>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</si>
  <si>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</si>
  <si>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</si>
  <si>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</si>
  <si>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</si>
  <si>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</si>
  <si>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</si>
  <si>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</si>
  <si>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</si>
  <si>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</si>
  <si>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</si>
  <si>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</si>
  <si>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</si>
  <si>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</si>
  <si>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</si>
  <si>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</si>
  <si>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</si>
  <si>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</si>
  <si>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</si>
  <si>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</si>
  <si>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</si>
  <si>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</si>
  <si>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</si>
  <si>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</si>
  <si>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</si>
  <si>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</si>
  <si>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</si>
  <si>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</si>
  <si>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</si>
  <si>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</si>
  <si>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</si>
  <si>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</si>
  <si>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</si>
  <si>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</si>
  <si>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</si>
  <si>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</si>
  <si>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</si>
  <si>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</si>
  <si>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</si>
  <si>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</si>
  <si>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</si>
  <si>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</si>
  <si>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</si>
  <si>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</si>
  <si>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</si>
  <si>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</si>
  <si>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</si>
  <si>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</si>
  <si>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</si>
  <si>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</si>
  <si>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</si>
  <si>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</si>
  <si>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</si>
  <si>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</si>
  <si>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</si>
  <si>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</si>
  <si>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</si>
  <si>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</si>
  <si>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</si>
  <si>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</si>
  <si>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</si>
  <si>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</si>
  <si>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</si>
  <si>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</si>
  <si>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</si>
  <si>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</si>
  <si>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</si>
  <si>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</si>
  <si>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</si>
  <si>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</si>
  <si>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</si>
  <si>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</si>
  <si>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</si>
  <si>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</si>
  <si>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</si>
  <si>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</si>
  <si>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</si>
  <si>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</si>
  <si>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</si>
  <si>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</si>
  <si>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</si>
  <si>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</si>
  <si>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</si>
  <si>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</si>
  <si>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</si>
  <si>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</si>
  <si>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</si>
  <si>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</si>
  <si>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</si>
  <si>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</si>
  <si>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</si>
  <si>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</si>
  <si>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</si>
  <si>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</si>
  <si>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</si>
  <si>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</si>
  <si>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</si>
  <si>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</si>
  <si>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</si>
  <si>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</si>
  <si>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</si>
  <si>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</si>
  <si>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</si>
  <si>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</si>
  <si>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</si>
  <si>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</si>
  <si>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</si>
  <si>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</si>
  <si>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</si>
  <si>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</si>
  <si>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</si>
  <si>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</si>
  <si>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</si>
  <si>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</si>
  <si>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</si>
  <si>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</si>
  <si>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</si>
  <si>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</si>
  <si>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</si>
  <si>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</si>
  <si>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</si>
  <si>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</si>
  <si>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</si>
  <si>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</si>
  <si>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</si>
  <si>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</si>
  <si>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</si>
  <si>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</si>
  <si>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</si>
  <si>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</si>
  <si>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</si>
  <si>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</si>
  <si>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</si>
  <si>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</si>
  <si>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</si>
  <si>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</si>
  <si>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</si>
  <si>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</si>
  <si>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</si>
  <si>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</si>
  <si>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</si>
  <si>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</si>
  <si>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</si>
  <si>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</si>
  <si>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</si>
  <si>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</si>
  <si>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</si>
  <si>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</si>
  <si>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</si>
  <si>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</si>
  <si>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</si>
  <si>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</si>
  <si>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</si>
  <si>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</si>
  <si>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</si>
  <si>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</si>
  <si>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</si>
  <si>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</si>
  <si>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</si>
  <si>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</si>
  <si>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</si>
  <si>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</si>
  <si>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</si>
  <si>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</si>
  <si>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</si>
  <si>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</si>
  <si>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</si>
  <si>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</si>
  <si>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</si>
  <si>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</si>
  <si>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</si>
  <si>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</si>
  <si>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</si>
  <si>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</si>
  <si>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</si>
  <si>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</si>
  <si>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</si>
  <si>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</si>
  <si>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</si>
  <si>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</si>
  <si>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</si>
  <si>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</si>
  <si>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</si>
  <si>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</si>
  <si>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</si>
  <si>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</si>
  <si>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</si>
  <si>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</si>
  <si>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</si>
  <si>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</si>
  <si>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</si>
  <si>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</si>
  <si>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</si>
  <si>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</si>
  <si>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</si>
  <si>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</si>
  <si>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</si>
  <si>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</si>
  <si>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</si>
  <si>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</si>
  <si>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</si>
  <si>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</si>
  <si>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</si>
  <si>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</si>
  <si>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</si>
  <si>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</si>
  <si>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</si>
  <si>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</si>
  <si>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</si>
  <si>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</si>
  <si>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</si>
  <si>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</si>
  <si>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</si>
  <si>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</si>
  <si>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</si>
  <si>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</si>
  <si>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</si>
  <si>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</si>
  <si>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</si>
  <si>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</si>
  <si>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</si>
  <si>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</si>
  <si>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</si>
  <si>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</si>
  <si>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</si>
  <si>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</si>
  <si>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</si>
  <si>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</si>
  <si>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</si>
  <si>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</si>
  <si>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</si>
  <si>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</si>
  <si>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</si>
  <si>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</si>
  <si>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</si>
  <si>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</si>
  <si>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</si>
  <si>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</si>
  <si>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</si>
  <si>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</si>
  <si>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</si>
  <si>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</si>
  <si>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</si>
  <si>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</si>
  <si>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</si>
  <si>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</si>
  <si>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</si>
  <si>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</si>
  <si>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</si>
  <si>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</si>
  <si>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</si>
  <si>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</si>
  <si>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</si>
  <si>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</si>
  <si>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</si>
  <si>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</si>
  <si>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</si>
  <si>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</si>
  <si>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</si>
  <si>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</si>
  <si>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</si>
  <si>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</si>
  <si>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</si>
  <si>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</si>
  <si>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</si>
  <si>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</si>
  <si>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</si>
  <si>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</si>
  <si>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</si>
  <si>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</si>
  <si>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</si>
  <si>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</si>
  <si>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</si>
  <si>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</si>
  <si>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</si>
  <si>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</si>
  <si>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</si>
  <si>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</si>
  <si>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</si>
  <si>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</si>
  <si>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</si>
  <si>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</si>
  <si>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</si>
  <si>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</si>
  <si>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</si>
  <si>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</si>
  <si>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</si>
  <si>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</si>
  <si>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</si>
  <si>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</si>
  <si>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</si>
  <si>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</si>
  <si>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</si>
  <si>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</si>
  <si>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</si>
  <si>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</si>
  <si>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</si>
  <si>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</si>
  <si>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</si>
  <si>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</si>
  <si>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</si>
  <si>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</si>
  <si>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</si>
  <si>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</si>
  <si>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</si>
  <si>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</si>
  <si>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</si>
  <si>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</si>
  <si>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</si>
  <si>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</si>
  <si>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</si>
  <si>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</si>
  <si>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</si>
  <si>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</si>
  <si>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</si>
  <si>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</si>
  <si>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</si>
  <si>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</si>
  <si>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</si>
  <si>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</si>
  <si>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</si>
  <si>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</si>
  <si>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</si>
  <si>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</si>
  <si>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</si>
  <si>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</si>
  <si>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</si>
  <si>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</si>
  <si>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</si>
  <si>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</si>
  <si>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</si>
  <si>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</si>
  <si>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</si>
  <si>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</si>
  <si>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</si>
  <si>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</si>
  <si>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</si>
  <si>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</si>
  <si>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</si>
  <si>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</si>
  <si>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</si>
  <si>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</si>
  <si>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</si>
  <si>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</si>
  <si>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</si>
  <si>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</si>
  <si>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</si>
  <si>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</si>
  <si>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</si>
  <si>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</si>
  <si>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</si>
  <si>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</si>
  <si>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</si>
  <si>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</si>
  <si>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</si>
  <si>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</si>
  <si>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</si>
  <si>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</si>
  <si>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</si>
  <si>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</si>
  <si>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</si>
  <si>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</si>
  <si>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</si>
  <si>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</si>
  <si>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</si>
  <si>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</si>
  <si>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</si>
  <si>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</si>
  <si>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</si>
  <si>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</si>
  <si>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</si>
  <si>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</si>
  <si>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</si>
  <si>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</si>
  <si>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</si>
  <si>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</si>
  <si>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</si>
  <si>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</si>
  <si>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</si>
  <si>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</si>
  <si>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</si>
  <si>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</si>
  <si>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</si>
  <si>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</si>
  <si>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</si>
  <si>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</si>
  <si>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</si>
  <si>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</si>
  <si>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</si>
  <si>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</si>
  <si>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</si>
  <si>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</si>
  <si>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</si>
  <si>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</si>
  <si>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</si>
  <si>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</si>
  <si>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</si>
  <si>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</si>
  <si>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</si>
  <si>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</si>
  <si>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</si>
  <si>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</si>
  <si>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</si>
  <si>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</si>
  <si>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</si>
  <si>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</si>
  <si>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</si>
  <si>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</si>
  <si>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</si>
  <si>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</si>
  <si>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</si>
  <si>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</si>
  <si>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</si>
  <si>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</si>
  <si>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</si>
  <si>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</si>
  <si>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</si>
  <si>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</si>
  <si>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</si>
  <si>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</si>
  <si>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</si>
  <si>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</si>
  <si>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</si>
  <si>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</si>
  <si>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</si>
  <si>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</si>
  <si>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</si>
  <si>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</si>
  <si>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</si>
  <si>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</si>
  <si>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</si>
  <si>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</si>
  <si>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</si>
  <si>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</si>
  <si>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</si>
  <si>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</si>
  <si>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</si>
  <si>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</si>
  <si>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</si>
  <si>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</si>
  <si>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</si>
  <si>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</si>
  <si>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</si>
  <si>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</si>
  <si>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</si>
  <si>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</si>
  <si>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</si>
  <si>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</si>
  <si>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</si>
  <si>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</si>
  <si>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</si>
  <si>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</si>
  <si>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</si>
  <si>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</si>
  <si>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</si>
  <si>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</si>
  <si>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</si>
  <si>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</si>
  <si>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</si>
  <si>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</si>
  <si>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</si>
  <si>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</si>
  <si>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</si>
  <si>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</si>
  <si>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</si>
  <si>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</si>
  <si>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</si>
  <si>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</si>
  <si>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</si>
  <si>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</si>
  <si>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</si>
  <si>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</si>
  <si>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</si>
  <si>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</si>
  <si>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</si>
  <si>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</si>
  <si>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</si>
  <si>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</si>
  <si>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</si>
  <si>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</si>
  <si>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</si>
  <si>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</si>
  <si>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</si>
  <si>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</si>
  <si>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</si>
  <si>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</si>
  <si>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</si>
  <si>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</si>
  <si>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</si>
  <si>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</si>
  <si>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</si>
  <si>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</si>
  <si>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</si>
  <si>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</si>
  <si>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</si>
  <si>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</si>
  <si>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</si>
  <si>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</si>
  <si>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</si>
  <si>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</si>
  <si>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</si>
  <si>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</si>
  <si>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</si>
  <si>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</si>
  <si>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</si>
  <si>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</si>
  <si>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</si>
  <si>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</si>
  <si>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</si>
  <si>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</si>
  <si>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</si>
  <si>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</si>
  <si>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</si>
  <si>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</si>
  <si>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</si>
  <si>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</si>
  <si>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</si>
  <si>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</si>
  <si>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</si>
  <si>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</si>
  <si>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</si>
  <si>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</si>
  <si>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</si>
  <si>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</si>
  <si>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</si>
  <si>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</si>
  <si>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</si>
  <si>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</si>
  <si>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</si>
  <si>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</si>
  <si>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</si>
  <si>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</si>
  <si>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</si>
  <si>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</si>
  <si>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</si>
  <si>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</si>
  <si>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</si>
  <si>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</si>
  <si>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</si>
  <si>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</si>
  <si>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</si>
  <si>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</si>
  <si>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</si>
  <si>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</si>
  <si>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</si>
  <si>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</si>
  <si>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</si>
  <si>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</si>
  <si>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</si>
  <si>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</si>
  <si>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</si>
  <si>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</si>
  <si>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</si>
  <si>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</si>
  <si>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</si>
  <si>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</si>
  <si>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</si>
  <si>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</si>
  <si>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</si>
  <si>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</si>
  <si>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</si>
  <si>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</si>
  <si>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</si>
  <si>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</si>
  <si>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</si>
  <si>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</si>
  <si>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</si>
  <si>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</si>
  <si>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</si>
  <si>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</si>
  <si>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</si>
  <si>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</si>
  <si>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</si>
  <si>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</si>
  <si>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</si>
  <si>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</si>
  <si>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</si>
  <si>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</si>
  <si>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</si>
  <si>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</si>
  <si>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</si>
  <si>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</si>
  <si>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</si>
  <si>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</si>
  <si>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</si>
  <si>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</si>
  <si>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</si>
  <si>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</si>
  <si>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</si>
  <si>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</si>
  <si>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</si>
  <si>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</si>
  <si>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</si>
  <si>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</si>
  <si>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</si>
  <si>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</si>
  <si>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</si>
  <si>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</si>
  <si>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</si>
  <si>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</si>
  <si>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</si>
  <si>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</si>
  <si>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</si>
  <si>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</si>
  <si>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</si>
  <si>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</si>
  <si>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</si>
  <si>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</si>
  <si>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</si>
  <si>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</si>
  <si>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</si>
  <si>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</si>
  <si>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</si>
  <si>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</si>
  <si>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</si>
  <si>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</si>
  <si>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</si>
  <si>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</si>
  <si>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</si>
  <si>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</si>
  <si>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</si>
  <si>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</si>
  <si>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</si>
  <si>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</si>
  <si>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</si>
  <si>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</si>
  <si>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</si>
  <si>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</si>
  <si>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</si>
  <si>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</si>
  <si>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</si>
  <si>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</si>
  <si>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</si>
  <si>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</si>
  <si>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</si>
  <si>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</si>
  <si>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</si>
  <si>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</si>
  <si>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</si>
  <si>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</si>
  <si>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</si>
  <si>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</si>
  <si>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</si>
  <si>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</si>
  <si>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</si>
  <si>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</si>
  <si>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</si>
  <si>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</si>
  <si>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</si>
  <si>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</si>
  <si>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</si>
  <si>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</si>
  <si>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</si>
  <si>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</si>
  <si>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</si>
  <si>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</si>
  <si>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</si>
  <si>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</si>
  <si>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</si>
  <si>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</si>
  <si>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</si>
  <si>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</si>
  <si>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</si>
  <si>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</si>
  <si>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</si>
  <si>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</si>
  <si>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</si>
  <si>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</si>
  <si>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</si>
  <si>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</si>
  <si>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</si>
  <si>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</si>
  <si>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</si>
  <si>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</si>
  <si>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</si>
  <si>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</si>
  <si>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</si>
  <si>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</si>
  <si>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</si>
  <si>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</si>
  <si>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</si>
  <si>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</si>
  <si>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</si>
  <si>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</si>
  <si>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</si>
  <si>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</si>
  <si>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</si>
  <si>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</si>
  <si>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</si>
  <si>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</si>
  <si>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</si>
  <si>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</si>
  <si>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</si>
  <si>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</si>
  <si>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</si>
  <si>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</si>
  <si>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</si>
  <si>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</si>
  <si>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</si>
  <si>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</si>
  <si>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</si>
  <si>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</si>
  <si>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</si>
  <si>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</si>
  <si>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</si>
  <si>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</si>
  <si>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</si>
  <si>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</si>
  <si>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</si>
  <si>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</si>
  <si>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</si>
  <si>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</si>
  <si>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</si>
  <si>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</si>
  <si>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</si>
  <si>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</si>
  <si>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</si>
  <si>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</si>
  <si>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</si>
  <si>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</si>
  <si>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</si>
  <si>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</si>
  <si>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</si>
  <si>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</si>
  <si>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</si>
  <si>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</si>
  <si>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</si>
  <si>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</si>
  <si>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</si>
  <si>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</si>
  <si>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</si>
  <si>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</si>
  <si>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</si>
  <si>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</si>
  <si>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</si>
  <si>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</si>
  <si>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</si>
  <si>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</si>
  <si>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</si>
  <si>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</si>
  <si>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</si>
  <si>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</si>
  <si>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</si>
  <si>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</si>
  <si>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</si>
  <si>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</si>
  <si>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</si>
  <si>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</si>
  <si>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</si>
  <si>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</si>
  <si>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</si>
  <si>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</si>
  <si>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</si>
  <si>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</si>
  <si>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</si>
  <si>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</si>
  <si>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</si>
  <si>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</si>
  <si>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</si>
  <si>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</si>
  <si>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</si>
  <si>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</si>
  <si>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</si>
  <si>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</si>
  <si>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</si>
  <si>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</si>
  <si>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</si>
  <si>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</si>
  <si>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</si>
  <si>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</si>
  <si>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</si>
  <si>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</si>
  <si>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</si>
  <si>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</si>
  <si>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</si>
  <si>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</si>
  <si>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</si>
  <si>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</si>
  <si>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</si>
  <si>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</si>
  <si>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</si>
  <si>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</si>
  <si>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</si>
  <si>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</si>
  <si>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</si>
  <si>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</si>
  <si>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</si>
  <si>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</si>
  <si>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</si>
  <si>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</si>
  <si>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</si>
  <si>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</si>
  <si>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</si>
  <si>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</si>
  <si>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</si>
  <si>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</si>
  <si>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</si>
  <si>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</si>
  <si>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</si>
  <si>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</si>
  <si>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</si>
  <si>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</si>
  <si>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</si>
  <si>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</si>
  <si>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</si>
  <si>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</si>
  <si>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</si>
  <si>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</si>
  <si>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</si>
  <si>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</si>
  <si>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</si>
  <si>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</si>
  <si>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</si>
  <si>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</si>
  <si>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</si>
  <si>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</si>
  <si>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</si>
  <si>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</si>
  <si>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</si>
  <si>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</si>
  <si>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</si>
  <si>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</si>
  <si>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</si>
  <si>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</si>
  <si>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</si>
  <si>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</si>
  <si>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</si>
  <si>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</si>
  <si>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</si>
  <si>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</si>
  <si>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</si>
  <si>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</si>
  <si>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</si>
  <si>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</si>
  <si>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</si>
  <si>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</si>
  <si>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</si>
  <si>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</si>
  <si>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</si>
  <si>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</si>
  <si>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</si>
  <si>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</si>
  <si>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</si>
  <si>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</si>
  <si>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</si>
  <si>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</si>
  <si>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</si>
  <si>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</si>
  <si>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</si>
  <si>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</si>
  <si>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</si>
  <si>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</si>
  <si>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</si>
  <si>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</si>
  <si>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</si>
  <si>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</si>
  <si>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</si>
  <si>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</si>
  <si>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</si>
  <si>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</si>
  <si>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</si>
  <si>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</si>
  <si>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</si>
  <si>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</si>
  <si>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</si>
  <si>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</si>
  <si>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</si>
  <si>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</si>
  <si>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</si>
  <si>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</si>
  <si>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</si>
  <si>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</si>
  <si>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</si>
  <si>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</si>
  <si>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</si>
  <si>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</si>
  <si>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</si>
  <si>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</si>
  <si>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</si>
  <si>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</si>
  <si>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</si>
  <si>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</si>
  <si>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</si>
  <si>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</si>
  <si>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</si>
  <si>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</si>
  <si>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</si>
  <si>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</si>
  <si>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</si>
  <si>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</si>
  <si>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</si>
  <si>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</si>
  <si>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</si>
  <si>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</si>
  <si>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</si>
  <si>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</si>
  <si>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</si>
  <si>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</si>
  <si>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</si>
  <si>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</si>
  <si>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</si>
  <si>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</si>
  <si>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</si>
  <si>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</si>
  <si>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</si>
  <si>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</si>
  <si>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</si>
  <si>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</si>
  <si>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</si>
  <si>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</si>
  <si>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</si>
  <si>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</si>
  <si>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</si>
  <si>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</si>
  <si>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</si>
  <si>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</si>
  <si>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</si>
  <si>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</si>
  <si>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</si>
  <si>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</si>
  <si>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</si>
  <si>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</si>
  <si>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</si>
  <si>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</si>
  <si>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</si>
  <si>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</si>
  <si>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</si>
  <si>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</si>
  <si>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</si>
  <si>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</si>
  <si>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</si>
  <si>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</si>
  <si>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</si>
  <si>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</si>
  <si>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</si>
  <si>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</si>
  <si>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</si>
  <si>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</si>
  <si>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</si>
  <si>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</si>
  <si>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</si>
  <si>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</si>
  <si>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</si>
  <si>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</si>
  <si>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</si>
  <si>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</si>
  <si>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</si>
  <si>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</si>
  <si>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</si>
  <si>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</si>
  <si>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</si>
  <si>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</si>
  <si>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</si>
  <si>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</si>
  <si>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</si>
  <si>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</si>
  <si>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</si>
  <si>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</si>
  <si>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</si>
  <si>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</si>
  <si>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</si>
  <si>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</si>
  <si>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</si>
  <si>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</si>
  <si>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</si>
  <si>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</si>
  <si>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</si>
  <si>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</si>
  <si>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</si>
  <si>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</si>
  <si>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</si>
  <si>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</si>
  <si>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</si>
  <si>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</si>
  <si>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</si>
  <si>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</si>
  <si>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</si>
  <si>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</si>
  <si>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</si>
  <si>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</si>
  <si>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</si>
  <si>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</si>
  <si>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</si>
  <si>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</si>
  <si>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</si>
  <si>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</si>
  <si>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</si>
  <si>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</si>
  <si>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</si>
  <si>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</si>
  <si>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</si>
  <si>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</si>
  <si>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</si>
  <si>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</si>
  <si>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</si>
  <si>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</si>
  <si>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</si>
  <si>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</si>
  <si>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</si>
  <si>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</si>
  <si>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</si>
  <si>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</si>
  <si>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</si>
  <si>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</si>
  <si>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</si>
  <si>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</si>
  <si>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</si>
  <si>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</si>
  <si>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</si>
  <si>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</si>
  <si>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</si>
  <si>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</si>
  <si>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</si>
  <si>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</si>
  <si>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</si>
  <si>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</si>
  <si>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</si>
  <si>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</si>
  <si>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</si>
  <si>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</si>
  <si>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</si>
  <si>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</si>
  <si>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</si>
  <si>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</si>
  <si>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</si>
  <si>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</si>
  <si>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</si>
  <si>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</si>
  <si>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</si>
  <si>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</si>
  <si>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</si>
  <si>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</si>
  <si>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</si>
  <si>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</si>
  <si>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</si>
  <si>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</si>
  <si>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</si>
  <si>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</si>
  <si>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</si>
  <si>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</si>
  <si>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</si>
  <si>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</si>
  <si>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</si>
  <si>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</si>
  <si>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</si>
  <si>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</si>
  <si>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</si>
  <si>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</si>
  <si>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</si>
  <si>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</si>
  <si>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</si>
  <si>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</si>
  <si>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</si>
  <si>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</si>
  <si>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</si>
  <si>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</si>
  <si>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</si>
  <si>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</si>
  <si>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</si>
  <si>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</si>
  <si>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</si>
  <si>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</si>
  <si>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</si>
  <si>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</si>
  <si>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</si>
  <si>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</si>
  <si>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</si>
  <si>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</si>
  <si>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</si>
  <si>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</si>
  <si>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</si>
  <si>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</si>
  <si>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</si>
  <si>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</si>
  <si>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</si>
  <si>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</si>
  <si>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</si>
  <si>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</si>
  <si>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</si>
  <si>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</si>
  <si>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</si>
  <si>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</si>
  <si>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</si>
  <si>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</si>
  <si>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</si>
  <si>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</si>
  <si>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</si>
  <si>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</si>
  <si>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</si>
  <si>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</si>
  <si>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</si>
  <si>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</si>
  <si>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</si>
  <si>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</si>
  <si>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</si>
  <si>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</si>
  <si>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</si>
  <si>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</si>
  <si>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</si>
  <si>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</si>
  <si>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</si>
  <si>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</si>
  <si>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</si>
  <si>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</si>
  <si>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</si>
  <si>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</si>
  <si>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</si>
  <si>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</si>
  <si>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</si>
  <si>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</si>
  <si>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</si>
  <si>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</si>
  <si>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</si>
  <si>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</si>
  <si>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</si>
  <si>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</si>
  <si>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</si>
  <si>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</si>
  <si>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</si>
  <si>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</si>
  <si>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</si>
  <si>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</si>
  <si>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</si>
  <si>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</si>
  <si>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</si>
  <si>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</si>
  <si>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</si>
  <si>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</si>
  <si>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</si>
  <si>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</si>
  <si>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</si>
  <si>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</si>
  <si>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</si>
  <si>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</si>
  <si>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</si>
  <si>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</si>
  <si>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</si>
  <si>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</si>
  <si>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</si>
  <si>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</si>
  <si>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</si>
  <si>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</si>
  <si>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</si>
  <si>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</si>
  <si>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</si>
  <si>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</si>
  <si>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</si>
  <si>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</si>
  <si>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</si>
  <si>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</si>
  <si>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</si>
  <si>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</si>
  <si>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</si>
  <si>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</si>
  <si>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</si>
  <si>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</si>
  <si>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</si>
  <si>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</si>
  <si>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</si>
  <si>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</si>
  <si>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</si>
  <si>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</si>
  <si>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</si>
  <si>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</si>
  <si>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</si>
  <si>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</si>
  <si>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</si>
  <si>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</si>
  <si>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</si>
  <si>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</si>
  <si>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</si>
  <si>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</si>
  <si>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</si>
  <si>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</si>
  <si>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</si>
  <si>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</si>
  <si>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</si>
  <si>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</si>
  <si>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</si>
  <si>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</si>
  <si>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</si>
  <si>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</si>
  <si>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</si>
  <si>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</si>
  <si>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</si>
  <si>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</si>
  <si>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</si>
  <si>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</si>
  <si>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</si>
  <si>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</si>
  <si>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</si>
  <si>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</si>
  <si>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</si>
  <si>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</si>
  <si>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</si>
  <si>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</si>
  <si>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</si>
  <si>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</si>
  <si>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</si>
  <si>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</si>
  <si>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</si>
  <si>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</si>
  <si>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</si>
  <si>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</si>
  <si>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</si>
  <si>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</si>
  <si>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</si>
  <si>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</si>
  <si>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</si>
  <si>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</si>
  <si>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</si>
  <si>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</si>
  <si>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</si>
  <si>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</si>
  <si>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</si>
  <si>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</si>
  <si>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</si>
  <si>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</si>
  <si>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</si>
  <si>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</si>
  <si>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</si>
  <si>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</si>
  <si>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</si>
  <si>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</si>
  <si>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</si>
  <si>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</si>
  <si>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</si>
  <si>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</si>
  <si>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</si>
  <si>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</si>
  <si>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</si>
  <si>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</si>
  <si>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</si>
  <si>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</si>
  <si>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</si>
  <si>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</si>
  <si>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</si>
  <si>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</si>
  <si>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</si>
  <si>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</si>
  <si>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</si>
  <si>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</si>
  <si>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</si>
  <si>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</si>
  <si>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</si>
  <si>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</si>
  <si>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</si>
  <si>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</si>
  <si>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</si>
  <si>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</si>
  <si>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</si>
  <si>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</si>
  <si>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</si>
  <si>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</si>
  <si>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</si>
  <si>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</si>
  <si>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</si>
  <si>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</si>
  <si>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</si>
  <si>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</si>
  <si>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</si>
  <si>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</si>
  <si>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</si>
  <si>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</si>
  <si>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</si>
  <si>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</si>
  <si>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</si>
  <si>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</si>
  <si>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</si>
  <si>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</si>
  <si>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</si>
  <si>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</si>
  <si>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</si>
  <si>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</si>
  <si>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</si>
  <si>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</si>
  <si>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</si>
  <si>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</si>
  <si>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</si>
  <si>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</si>
  <si>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</si>
  <si>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</si>
  <si>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</si>
  <si>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</si>
  <si>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</si>
  <si>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</si>
  <si>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</si>
  <si>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</si>
  <si>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</si>
  <si>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</si>
  <si>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</si>
  <si>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</si>
  <si>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</si>
  <si>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</si>
  <si>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</si>
  <si>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</si>
  <si>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</si>
  <si>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</si>
  <si>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</si>
  <si>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</si>
  <si>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</si>
  <si>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</si>
  <si>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</si>
  <si>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</si>
  <si>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</si>
  <si>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</si>
  <si>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</si>
  <si>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</si>
  <si>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</si>
  <si>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</si>
  <si>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</si>
  <si>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</si>
  <si>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</si>
  <si>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</si>
  <si>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</si>
  <si>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</si>
  <si>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</si>
  <si>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</si>
  <si>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</si>
  <si>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</si>
  <si>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</si>
  <si>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</si>
  <si>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</si>
  <si>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</si>
  <si>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</si>
  <si>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</si>
  <si>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</si>
  <si>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</si>
  <si>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</si>
  <si>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</si>
  <si>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</si>
  <si>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</si>
  <si>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</si>
  <si>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</si>
  <si>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</si>
  <si>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</si>
  <si>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</si>
  <si>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</si>
  <si>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</si>
  <si>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</si>
  <si>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</si>
  <si>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</si>
  <si>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</si>
  <si>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</si>
  <si>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</si>
  <si>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</si>
  <si>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</si>
  <si>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</si>
  <si>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</si>
  <si>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</si>
  <si>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</si>
  <si>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</si>
  <si>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</si>
  <si>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</si>
  <si>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</si>
  <si>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</si>
  <si>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</si>
  <si>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</si>
  <si>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</si>
  <si>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</si>
  <si>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</si>
  <si>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</si>
  <si>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</si>
  <si>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</si>
  <si>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</si>
  <si>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</si>
  <si>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</si>
  <si>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</si>
  <si>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</si>
  <si>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</si>
  <si>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</si>
  <si>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</si>
  <si>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</si>
  <si>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</si>
  <si>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</si>
  <si>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</si>
  <si>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</si>
  <si>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</si>
  <si>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</si>
  <si>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</si>
  <si>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</si>
  <si>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</si>
  <si>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</si>
  <si>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</si>
  <si>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</si>
  <si>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</si>
  <si>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</si>
  <si>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</si>
  <si>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</si>
  <si>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</si>
  <si>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</si>
  <si>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</si>
  <si>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</si>
  <si>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</si>
  <si>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</si>
  <si>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</si>
  <si>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</si>
  <si>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</si>
  <si>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</si>
  <si>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</si>
  <si>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</si>
  <si>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</si>
  <si>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</si>
  <si>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</si>
  <si>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</si>
  <si>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</si>
  <si>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</si>
  <si>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</si>
  <si>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</si>
  <si>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</si>
  <si>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</si>
  <si>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</si>
  <si>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</si>
  <si>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</si>
  <si>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</si>
  <si>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</si>
  <si>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</si>
  <si>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</si>
  <si>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</si>
  <si>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</si>
  <si>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</si>
  <si>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</si>
  <si>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</si>
  <si>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</si>
  <si>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</si>
  <si>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</si>
  <si>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</si>
  <si>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</si>
  <si>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</si>
  <si>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</si>
  <si>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</si>
  <si>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</si>
  <si>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</si>
  <si>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</si>
  <si>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</si>
  <si>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</si>
  <si>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</si>
  <si>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</si>
  <si>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</si>
  <si>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</si>
  <si>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</si>
  <si>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</si>
  <si>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</si>
  <si>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</si>
  <si>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</si>
  <si>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</si>
  <si>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</si>
  <si>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</si>
  <si>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</si>
  <si>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</si>
  <si>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</si>
  <si>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</si>
  <si>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</si>
  <si>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</si>
  <si>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</si>
  <si>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</si>
  <si>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</si>
  <si>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</si>
  <si>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</si>
  <si>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</si>
  <si>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</si>
  <si>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</si>
  <si>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</si>
  <si>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</si>
  <si>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</si>
  <si>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</si>
  <si>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</si>
  <si>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</si>
  <si>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</si>
  <si>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</si>
  <si>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</si>
  <si>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</si>
  <si>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</si>
  <si>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</si>
  <si>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</si>
  <si>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</si>
  <si>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</si>
  <si>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</si>
  <si>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</si>
  <si>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</si>
  <si>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</si>
  <si>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</si>
  <si>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</si>
  <si>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</si>
  <si>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</si>
  <si>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</si>
  <si>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</si>
  <si>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</si>
  <si>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</si>
  <si>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</si>
  <si>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</si>
  <si>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</si>
  <si>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</si>
  <si>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</si>
  <si>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</si>
  <si>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</si>
  <si>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</si>
  <si>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</si>
  <si>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</si>
  <si>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</si>
  <si>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</si>
  <si>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</si>
  <si>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</si>
  <si>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</si>
  <si>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</si>
  <si>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</si>
  <si>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</si>
  <si>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</si>
  <si>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</si>
  <si>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</si>
  <si>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</si>
  <si>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</si>
  <si>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</si>
  <si>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</si>
  <si>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</si>
  <si>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</si>
  <si>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</si>
  <si>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</si>
  <si>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</si>
  <si>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</si>
  <si>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</si>
  <si>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</si>
  <si>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</si>
  <si>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</si>
  <si>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</si>
  <si>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</si>
  <si>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</si>
  <si>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</si>
  <si>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</si>
  <si>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</si>
  <si>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</si>
  <si>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</si>
  <si>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</si>
  <si>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</si>
  <si>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</si>
  <si>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</si>
  <si>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</si>
  <si>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</si>
  <si>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</si>
  <si>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</si>
  <si>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</si>
  <si>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</si>
  <si>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</si>
  <si>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</si>
  <si>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</si>
  <si>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</si>
  <si>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</si>
  <si>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</si>
  <si>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</si>
  <si>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</si>
  <si>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</si>
  <si>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</si>
  <si>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</si>
  <si>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</si>
  <si>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</si>
  <si>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</si>
  <si>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</si>
  <si>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</si>
  <si>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</si>
  <si>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</si>
  <si>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</si>
  <si>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</si>
  <si>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</si>
  <si>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</si>
  <si>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</si>
  <si>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</si>
  <si>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</si>
  <si>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</si>
  <si>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</si>
  <si>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</si>
  <si>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</si>
  <si>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</si>
  <si>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</si>
  <si>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</si>
  <si>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</si>
  <si>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</si>
  <si>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</si>
  <si>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</si>
  <si>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</si>
  <si>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</si>
  <si>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</si>
  <si>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</si>
  <si>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</si>
  <si>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</si>
  <si>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</si>
  <si>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</si>
  <si>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</si>
  <si>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</si>
  <si>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</si>
  <si>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</si>
  <si>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</si>
  <si>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</si>
  <si>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</si>
  <si>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</si>
  <si>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</si>
  <si>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</si>
  <si>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</si>
  <si>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</si>
  <si>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</si>
  <si>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</si>
  <si>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</si>
  <si>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</si>
  <si>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</si>
  <si>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</si>
  <si>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</si>
  <si>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</si>
  <si>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</si>
  <si>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</si>
  <si>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</si>
  <si>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</si>
  <si>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</si>
  <si>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</si>
  <si>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</si>
  <si>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</si>
  <si>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</si>
  <si>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</si>
  <si>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</si>
  <si>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</si>
  <si>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</si>
  <si>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</si>
  <si>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</si>
  <si>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</si>
  <si>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</si>
  <si>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</si>
  <si>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</si>
  <si>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</si>
  <si>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</si>
  <si>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</si>
  <si>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</si>
  <si>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</si>
  <si>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</si>
  <si>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</si>
  <si>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</si>
  <si>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</si>
  <si>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</si>
  <si>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</si>
  <si>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</si>
  <si>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</si>
  <si>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</si>
  <si>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</si>
  <si>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</si>
  <si>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</si>
  <si>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</si>
  <si>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</si>
  <si>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</si>
  <si>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</si>
  <si>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</si>
  <si>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</si>
  <si>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</si>
  <si>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</si>
  <si>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</si>
  <si>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</si>
  <si>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</si>
  <si>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</si>
  <si>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</si>
  <si>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</si>
  <si>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</si>
  <si>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</si>
  <si>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</si>
  <si>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</si>
  <si>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</si>
  <si>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</si>
  <si>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</si>
  <si>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</si>
  <si>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</si>
  <si>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</si>
  <si>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</si>
  <si>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</si>
  <si>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</si>
  <si>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</si>
  <si>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</si>
  <si>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</si>
  <si>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</si>
  <si>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</si>
  <si>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</si>
  <si>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</si>
  <si>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</si>
  <si>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</si>
  <si>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</si>
  <si>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</si>
  <si>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</si>
  <si>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</si>
  <si>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</si>
  <si>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</si>
  <si>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</si>
  <si>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</si>
  <si>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</si>
  <si>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</si>
  <si>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</si>
  <si>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</si>
  <si>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</si>
  <si>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</si>
  <si>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</si>
  <si>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</si>
  <si>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</si>
  <si>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</si>
  <si>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</si>
  <si>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</si>
  <si>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</si>
  <si>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</si>
  <si>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</si>
  <si>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</si>
  <si>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</si>
  <si>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</si>
  <si>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</si>
  <si>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</si>
  <si>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</si>
  <si>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</si>
  <si>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</si>
  <si>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</si>
  <si>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</si>
  <si>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</si>
  <si>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</si>
  <si>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</si>
  <si>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</si>
  <si>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</si>
  <si>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</si>
  <si>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</si>
  <si>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</si>
  <si>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</si>
  <si>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</si>
  <si>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</si>
  <si>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</si>
  <si>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</si>
  <si>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</si>
  <si>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</si>
  <si>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</si>
  <si>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</si>
  <si>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</si>
  <si>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</si>
  <si>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</si>
  <si>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</si>
  <si>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</si>
  <si>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</si>
  <si>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</si>
  <si>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</si>
  <si>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</si>
  <si>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</si>
  <si>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</si>
  <si>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</si>
  <si>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</si>
  <si>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</si>
  <si>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</si>
  <si>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</si>
  <si>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</si>
  <si>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</si>
  <si>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</si>
  <si>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</si>
  <si>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</si>
  <si>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</si>
  <si>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</si>
  <si>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</si>
  <si>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</si>
  <si>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</si>
  <si>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</si>
  <si>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</si>
  <si>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</si>
  <si>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</si>
  <si>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</si>
  <si>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</si>
  <si>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</si>
  <si>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</si>
  <si>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</si>
  <si>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</si>
  <si>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</si>
  <si>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</si>
  <si>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</si>
  <si>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</si>
  <si>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</si>
  <si>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</si>
  <si>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</si>
  <si>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</si>
  <si>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</si>
  <si>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</si>
  <si>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</si>
  <si>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</si>
  <si>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</si>
  <si>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</si>
  <si>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</si>
  <si>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</si>
  <si>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</si>
  <si>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</si>
  <si>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</si>
  <si>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</si>
  <si>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</si>
  <si>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</si>
  <si>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</si>
  <si>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</si>
  <si>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</si>
  <si>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</si>
  <si>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</si>
  <si>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</si>
  <si>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</si>
  <si>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</si>
  <si>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</si>
  <si>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</si>
  <si>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</si>
  <si>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</si>
  <si>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</si>
  <si>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</si>
  <si>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</si>
  <si>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</si>
  <si>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</si>
  <si>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</si>
  <si>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</si>
  <si>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</si>
  <si>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</si>
  <si>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</si>
  <si>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</si>
  <si>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</si>
  <si>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</si>
  <si>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</si>
  <si>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</si>
  <si>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</si>
  <si>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</si>
  <si>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</si>
  <si>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</si>
  <si>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</si>
  <si>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</si>
  <si>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</si>
  <si>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</si>
  <si>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</si>
  <si>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</si>
  <si>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</si>
  <si>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</si>
  <si>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</si>
  <si>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</si>
  <si>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</si>
  <si>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</si>
  <si>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</si>
  <si>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</si>
  <si>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</si>
  <si>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</si>
  <si>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</si>
  <si>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</si>
  <si>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</si>
  <si>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</si>
  <si>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</si>
  <si>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</si>
  <si>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</si>
  <si>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</si>
  <si>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</si>
  <si>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</si>
  <si>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</si>
  <si>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</si>
  <si>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</si>
  <si>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</si>
  <si>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</si>
  <si>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</si>
  <si>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</si>
  <si>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</si>
  <si>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</si>
  <si>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</si>
  <si>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</si>
  <si>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</si>
  <si>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</si>
  <si>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</si>
  <si>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</si>
  <si>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</si>
  <si>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</si>
  <si>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</si>
  <si>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</si>
  <si>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</si>
  <si>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</si>
  <si>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</si>
  <si>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</si>
  <si>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</si>
  <si>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</si>
  <si>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</si>
  <si>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</si>
  <si>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</si>
  <si>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</si>
  <si>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</si>
  <si>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</si>
  <si>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</si>
  <si>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</si>
  <si>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</si>
  <si>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</si>
  <si>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</si>
  <si>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</si>
  <si>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</si>
  <si>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</si>
  <si>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</si>
  <si>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</si>
  <si>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</si>
  <si>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</si>
  <si>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</si>
  <si>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</si>
  <si>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</si>
  <si>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</si>
  <si>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</si>
  <si>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</si>
  <si>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</si>
  <si>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</si>
  <si>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</si>
  <si>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</si>
  <si>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</si>
  <si>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</si>
  <si>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</si>
  <si>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</si>
  <si>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</si>
  <si>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</si>
  <si>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</si>
  <si>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</si>
  <si>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</si>
  <si>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</si>
  <si>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</si>
  <si>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</si>
  <si>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</si>
  <si>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</si>
  <si>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</si>
  <si>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</si>
  <si>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</si>
  <si>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</si>
  <si>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</si>
  <si>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</si>
  <si>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</si>
  <si>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</si>
  <si>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</si>
  <si>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</si>
  <si>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</si>
  <si>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</si>
  <si>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</si>
  <si>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</si>
  <si>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</si>
  <si>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</si>
  <si>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</si>
  <si>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</si>
  <si>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</si>
  <si>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</si>
  <si>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</si>
  <si>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</si>
  <si>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</si>
  <si>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</si>
  <si>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</si>
  <si>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</si>
  <si>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</si>
  <si>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</si>
  <si>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</si>
  <si>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</si>
  <si>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</si>
  <si>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</si>
  <si>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</si>
  <si>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</si>
  <si>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</si>
  <si>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</si>
  <si>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</si>
  <si>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</si>
  <si>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</si>
  <si>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</si>
  <si>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</si>
  <si>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</si>
  <si>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</si>
  <si>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</si>
  <si>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</si>
  <si>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</si>
  <si>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</si>
  <si>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</si>
  <si>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</si>
  <si>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</si>
  <si>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</si>
  <si>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</si>
  <si>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</si>
  <si>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</si>
  <si>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</si>
  <si>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</si>
  <si>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</si>
  <si>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</si>
  <si>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</si>
  <si>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</si>
  <si>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</si>
  <si>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</si>
  <si>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</si>
  <si>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</si>
  <si>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</si>
  <si>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</si>
  <si>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</si>
  <si>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</si>
  <si>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</si>
  <si>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</si>
  <si>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</si>
  <si>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</si>
  <si>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</si>
  <si>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</si>
  <si>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</si>
  <si>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</si>
  <si>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</si>
  <si>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</si>
  <si>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</si>
  <si>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</si>
  <si>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</si>
  <si>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</si>
  <si>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</si>
  <si>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</si>
  <si>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</si>
  <si>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</si>
  <si>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</si>
  <si>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</si>
  <si>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</si>
  <si>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</si>
  <si>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</si>
  <si>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</si>
  <si>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</si>
  <si>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</si>
  <si>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</si>
  <si>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</si>
  <si>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</si>
  <si>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</si>
  <si>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</si>
  <si>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</si>
  <si>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</si>
  <si>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</si>
  <si>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</si>
  <si>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</si>
  <si>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</si>
  <si>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</si>
  <si>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</si>
  <si>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</si>
  <si>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</si>
  <si>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</si>
  <si>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</si>
  <si>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</si>
  <si>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</si>
  <si>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</si>
  <si>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</si>
  <si>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</si>
  <si>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</si>
  <si>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</si>
  <si>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</si>
  <si>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</si>
  <si>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</si>
  <si>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</si>
  <si>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</si>
  <si>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</si>
  <si>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</si>
  <si>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</si>
  <si>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</si>
  <si>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</si>
  <si>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</si>
  <si>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</si>
  <si>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</si>
  <si>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</si>
  <si>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</si>
  <si>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</si>
  <si>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</si>
  <si>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</si>
  <si>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</si>
  <si>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</si>
  <si>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</si>
  <si>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</si>
  <si>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</si>
  <si>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</si>
  <si>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</si>
  <si>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</si>
  <si>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</si>
  <si>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</si>
  <si>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</si>
  <si>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</si>
  <si>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</si>
  <si>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</si>
  <si>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</si>
  <si>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</si>
  <si>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</si>
  <si>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</si>
  <si>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</si>
  <si>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</si>
  <si>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</si>
  <si>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</si>
  <si>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</si>
  <si>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</si>
  <si>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</si>
  <si>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</si>
  <si>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</si>
  <si>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</si>
  <si>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</si>
  <si>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</si>
  <si>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</si>
  <si>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</si>
  <si>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</si>
  <si>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</si>
  <si>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</si>
  <si>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</si>
  <si>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</si>
  <si>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</si>
  <si>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</si>
  <si>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</si>
  <si>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</si>
  <si>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</si>
  <si>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</si>
  <si>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</si>
  <si>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</si>
  <si>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</si>
  <si>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</si>
  <si>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</si>
  <si>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</si>
  <si>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</si>
  <si>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</si>
  <si>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</si>
  <si>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</si>
  <si>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</si>
  <si>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</si>
  <si>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</si>
  <si>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</si>
  <si>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</si>
  <si>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</si>
  <si>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</si>
  <si>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</si>
  <si>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</si>
  <si>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</si>
  <si>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</si>
  <si>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</si>
  <si>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</si>
  <si>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</si>
  <si>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</si>
  <si>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</si>
  <si>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</si>
  <si>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</si>
  <si>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</si>
  <si>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</si>
  <si>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</si>
  <si>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</si>
  <si>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</si>
  <si>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</si>
  <si>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</si>
  <si>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</si>
  <si>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</si>
  <si>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</si>
  <si>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</si>
  <si>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</si>
  <si>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</si>
  <si>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</si>
  <si>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</si>
  <si>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</si>
  <si>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</si>
  <si>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</si>
  <si>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</si>
  <si>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</si>
  <si>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</si>
  <si>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</si>
  <si>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</si>
  <si>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</si>
  <si>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</si>
  <si>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</si>
  <si>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</si>
  <si>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</si>
  <si>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</si>
  <si>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</si>
  <si>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</si>
  <si>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</si>
  <si>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</si>
  <si>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</si>
  <si>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</si>
  <si>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</si>
  <si>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</si>
  <si>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</si>
  <si>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</si>
  <si>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</si>
  <si>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</si>
  <si>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</si>
  <si>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</si>
  <si>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</si>
  <si>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</si>
  <si>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</si>
  <si>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</si>
  <si>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</si>
  <si>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</si>
  <si>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</si>
  <si>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</si>
  <si>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</si>
  <si>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</si>
  <si>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</si>
  <si>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</si>
  <si>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</si>
  <si>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</si>
  <si>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</si>
  <si>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</si>
  <si>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</si>
  <si>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</si>
  <si>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</si>
  <si>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</si>
  <si>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</si>
  <si>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</si>
  <si>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</si>
  <si>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</si>
  <si>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</si>
  <si>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</si>
  <si>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</si>
  <si>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</si>
  <si>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</si>
  <si>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</si>
  <si>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</si>
  <si>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</si>
  <si>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</si>
  <si>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</si>
  <si>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</si>
  <si>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</si>
  <si>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</si>
  <si>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</si>
  <si>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</si>
  <si>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</si>
  <si>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</si>
  <si>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</si>
  <si>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</si>
  <si>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</si>
  <si>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</si>
  <si>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</si>
  <si>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</si>
  <si>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</si>
  <si>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</si>
  <si>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</si>
  <si>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</si>
  <si>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</si>
  <si>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</si>
  <si>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</si>
  <si>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</si>
  <si>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</si>
  <si>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</si>
  <si>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</si>
  <si>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</si>
  <si>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</si>
  <si>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</si>
  <si>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</si>
  <si>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</si>
  <si>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</si>
  <si>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</si>
  <si>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</si>
  <si>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</si>
  <si>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</si>
  <si>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</si>
  <si>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</si>
  <si>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</si>
  <si>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</si>
  <si>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</si>
  <si>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</si>
  <si>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</si>
  <si>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</si>
  <si>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</si>
  <si>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</si>
  <si>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</si>
  <si>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</si>
  <si>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</si>
  <si>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</si>
  <si>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</si>
  <si>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</si>
  <si>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</si>
  <si>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</si>
  <si>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</si>
  <si>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</si>
  <si>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</si>
  <si>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</si>
  <si>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</si>
  <si>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</si>
  <si>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</si>
  <si>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</si>
  <si>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</si>
  <si>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</si>
  <si>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</si>
  <si>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</si>
  <si>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</si>
  <si>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</si>
  <si>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</si>
  <si>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</si>
  <si>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</si>
  <si>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</si>
  <si>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</si>
  <si>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</si>
  <si>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</si>
  <si>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</si>
  <si>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</si>
  <si>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</si>
  <si>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</si>
  <si>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</si>
  <si>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</si>
  <si>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</si>
  <si>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</si>
  <si>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</si>
  <si>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</si>
  <si>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</si>
  <si>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</si>
  <si>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</si>
  <si>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</si>
  <si>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</si>
  <si>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</si>
  <si>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</si>
  <si>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</si>
  <si>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</si>
  <si>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</si>
  <si>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</si>
  <si>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</si>
  <si>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</si>
  <si>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</si>
  <si>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</si>
  <si>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</si>
  <si>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</si>
  <si>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</si>
  <si>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</si>
  <si>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</si>
  <si>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</si>
  <si>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</si>
  <si>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</si>
  <si>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</si>
  <si>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</si>
  <si>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</si>
  <si>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</si>
  <si>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</si>
  <si>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</si>
  <si>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</si>
  <si>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</si>
  <si>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</si>
  <si>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</si>
  <si>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</si>
  <si>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</si>
  <si>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</si>
  <si>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</si>
  <si>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</si>
  <si>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</si>
  <si>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</si>
  <si>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</si>
  <si>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</si>
  <si>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</si>
  <si>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</si>
  <si>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</si>
  <si>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</si>
  <si>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</si>
  <si>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</si>
  <si>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</si>
  <si>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</si>
  <si>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</si>
  <si>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</si>
  <si>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</si>
  <si>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</si>
  <si>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</si>
  <si>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</si>
  <si>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</si>
  <si>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</si>
  <si>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</si>
  <si>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</si>
  <si>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</si>
  <si>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</si>
  <si>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</si>
  <si>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</si>
  <si>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</si>
  <si>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</si>
  <si>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</si>
  <si>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</si>
  <si>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</si>
  <si>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</si>
  <si>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</si>
  <si>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</si>
  <si>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</si>
  <si>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</si>
  <si>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</si>
  <si>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</si>
  <si>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</si>
  <si>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</si>
  <si>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</si>
  <si>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</si>
  <si>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</si>
  <si>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</si>
  <si>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</si>
  <si>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</si>
  <si>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</si>
  <si>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</si>
  <si>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</si>
  <si>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</si>
  <si>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</si>
  <si>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</si>
  <si>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</si>
  <si>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</si>
  <si>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</si>
  <si>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</si>
  <si>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</si>
  <si>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</si>
  <si>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</si>
  <si>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</si>
  <si>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</si>
  <si>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</si>
  <si>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</si>
  <si>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</si>
  <si>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</si>
  <si>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</si>
  <si>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</si>
  <si>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</si>
  <si>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</si>
  <si>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</si>
  <si>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</si>
  <si>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</si>
  <si>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</si>
  <si>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</si>
  <si>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</si>
  <si>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</si>
  <si>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</si>
  <si>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</si>
  <si>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</si>
  <si>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</si>
  <si>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</si>
  <si>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</si>
  <si>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</si>
  <si>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</si>
  <si>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</si>
  <si>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</si>
  <si>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</si>
  <si>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</si>
  <si>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</si>
  <si>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</si>
  <si>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</si>
  <si>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</si>
  <si>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</si>
  <si>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</si>
  <si>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</si>
  <si>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</si>
  <si>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</si>
  <si>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</si>
  <si>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</si>
  <si>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</si>
  <si>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</si>
  <si>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</si>
  <si>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</si>
  <si>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</si>
  <si>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</si>
  <si>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</si>
  <si>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</si>
  <si>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</si>
  <si>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</si>
  <si>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</si>
  <si>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</si>
  <si>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</si>
  <si>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</si>
  <si>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</si>
  <si>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</si>
  <si>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</si>
  <si>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</si>
  <si>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</si>
  <si>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</si>
  <si>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</si>
  <si>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</si>
  <si>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</si>
  <si>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</si>
  <si>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</si>
  <si>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</si>
  <si>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</si>
  <si>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</si>
  <si>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</si>
  <si>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</si>
  <si>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</si>
  <si>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</si>
  <si>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</si>
  <si>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</si>
  <si>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</si>
  <si>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</si>
  <si>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</si>
  <si>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</si>
  <si>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</si>
  <si>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</si>
  <si>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</si>
  <si>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</si>
  <si>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</si>
  <si>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</si>
  <si>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</si>
  <si>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</si>
  <si>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</si>
  <si>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</si>
  <si>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</si>
  <si>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</si>
  <si>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</si>
  <si>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</si>
  <si>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</si>
  <si>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</si>
  <si>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</si>
  <si>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</si>
  <si>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</si>
  <si>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</si>
  <si>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</si>
  <si>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</si>
  <si>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</si>
  <si>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</si>
  <si>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</si>
  <si>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</si>
  <si>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</si>
  <si>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</si>
  <si>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</si>
  <si>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</si>
  <si>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</si>
  <si>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</si>
  <si>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</si>
  <si>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</si>
  <si>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</si>
  <si>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</si>
  <si>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</si>
  <si>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</si>
  <si>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</si>
  <si>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</si>
  <si>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</si>
  <si>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</si>
  <si>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</si>
  <si>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</si>
  <si>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</si>
  <si>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</si>
  <si>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</si>
  <si>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</si>
  <si>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</si>
  <si>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</si>
  <si>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</si>
  <si>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</si>
  <si>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</si>
  <si>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</si>
  <si>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</si>
  <si>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</si>
  <si>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</si>
  <si>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</si>
  <si>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</si>
  <si>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</si>
  <si>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</si>
  <si>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</si>
  <si>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</si>
  <si>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</si>
  <si>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</si>
  <si>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</si>
  <si>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</si>
  <si>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</si>
  <si>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</si>
  <si>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</si>
  <si>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</si>
  <si>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</si>
  <si>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</si>
  <si>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</si>
  <si>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</si>
  <si>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</si>
  <si>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</si>
  <si>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</si>
  <si>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</si>
  <si>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</si>
  <si>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</si>
  <si>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</si>
  <si>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</si>
  <si>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</si>
  <si>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</si>
  <si>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</si>
  <si>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</si>
  <si>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</si>
  <si>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</si>
  <si>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</si>
  <si>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</si>
  <si>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</si>
  <si>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</si>
  <si>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</si>
  <si>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</si>
  <si>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</si>
  <si>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</si>
  <si>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</si>
  <si>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</si>
  <si>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</si>
  <si>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</si>
  <si>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</si>
  <si>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</si>
  <si>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</si>
  <si>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</si>
  <si>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</si>
  <si>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</si>
  <si>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</si>
  <si>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</si>
  <si>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</si>
  <si>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</si>
  <si>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</si>
  <si>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</si>
  <si>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</si>
  <si>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</si>
  <si>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</si>
  <si>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</si>
  <si>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</si>
  <si>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</si>
  <si>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</si>
  <si>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</si>
  <si>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</si>
  <si>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</si>
  <si>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</si>
  <si>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</si>
  <si>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</si>
  <si>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</si>
  <si>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</si>
  <si>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</si>
  <si>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</si>
  <si>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</si>
  <si>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</si>
  <si>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</si>
  <si>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</si>
  <si>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</si>
  <si>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</si>
  <si>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</si>
  <si>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</si>
  <si>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</si>
  <si>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</si>
  <si>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</si>
  <si>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</si>
  <si>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</si>
  <si>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</si>
  <si>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</si>
  <si>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</si>
  <si>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</si>
  <si>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</si>
  <si>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</si>
  <si>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</si>
  <si>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</si>
  <si>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</si>
  <si>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</si>
  <si>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</si>
  <si>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</si>
  <si>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</si>
  <si>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</si>
  <si>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</si>
  <si>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</si>
  <si>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</si>
  <si>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</si>
  <si>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</si>
  <si>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</si>
  <si>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</si>
  <si>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</si>
  <si>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</si>
  <si>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</si>
  <si>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</si>
  <si>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</si>
  <si>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</si>
  <si>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</si>
  <si>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</si>
  <si>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</si>
  <si>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</si>
  <si>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</si>
  <si>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</si>
  <si>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</si>
  <si>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</si>
  <si>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</si>
  <si>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</si>
  <si>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</si>
  <si>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</si>
  <si>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</si>
  <si>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</si>
  <si>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</si>
  <si>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</si>
  <si>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</si>
  <si>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</si>
  <si>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</si>
  <si>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</si>
  <si>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</si>
  <si>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</si>
  <si>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</si>
  <si>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</si>
  <si>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</si>
  <si>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</si>
  <si>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</si>
  <si>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</si>
  <si>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</si>
  <si>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</si>
  <si>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</si>
  <si>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</si>
  <si>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</si>
  <si>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</si>
  <si>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</si>
  <si>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</si>
  <si>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</si>
  <si>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</si>
  <si>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</si>
  <si>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</si>
  <si>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</si>
  <si>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</si>
  <si>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</si>
  <si>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</si>
  <si>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</si>
  <si>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</si>
  <si>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</si>
  <si>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</si>
  <si>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</si>
  <si>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</si>
  <si>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</si>
  <si>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</si>
  <si>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</si>
  <si>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</si>
  <si>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</si>
  <si>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</si>
  <si>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</si>
  <si>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</si>
  <si>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</si>
  <si>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</si>
  <si>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</si>
  <si>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</si>
  <si>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</si>
  <si>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</si>
  <si>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</si>
  <si>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</si>
  <si>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</si>
  <si>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</si>
  <si>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</si>
  <si>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</si>
  <si>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</si>
  <si>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</si>
  <si>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</si>
  <si>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</si>
  <si>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</si>
  <si>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</si>
  <si>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</si>
  <si>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</si>
  <si>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</si>
  <si>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</si>
  <si>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</si>
  <si>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</si>
  <si>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</si>
  <si>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</si>
  <si>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</si>
  <si>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</si>
  <si>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</si>
  <si>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</si>
  <si>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</si>
  <si>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</si>
  <si>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</si>
  <si>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</si>
  <si>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</si>
  <si>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</si>
  <si>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</si>
  <si>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</si>
  <si>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</si>
  <si>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</si>
  <si>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</si>
  <si>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</si>
  <si>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</si>
  <si>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</si>
  <si>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</si>
  <si>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</si>
  <si>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</si>
  <si>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</si>
  <si>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</si>
  <si>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</si>
  <si>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</si>
  <si>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</si>
  <si>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</si>
  <si>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</si>
  <si>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</si>
  <si>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</si>
  <si>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</si>
  <si>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</si>
  <si>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</si>
  <si>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</si>
  <si>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</si>
  <si>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</si>
  <si>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</si>
  <si>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</si>
  <si>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</si>
  <si>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</si>
  <si>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</si>
  <si>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</si>
  <si>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</si>
  <si>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</si>
  <si>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</si>
  <si>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</si>
  <si>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</si>
  <si>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</si>
  <si>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</si>
  <si>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</si>
  <si>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</si>
  <si>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</si>
  <si>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</si>
  <si>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</si>
  <si>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</si>
  <si>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</si>
  <si>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</si>
  <si>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</si>
  <si>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</si>
  <si>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</si>
  <si>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</si>
  <si>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</si>
  <si>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</si>
  <si>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</si>
  <si>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</si>
  <si>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</si>
  <si>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</si>
  <si>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</si>
  <si>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</si>
  <si>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</si>
  <si>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</si>
  <si>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</si>
  <si>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</si>
  <si>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</si>
  <si>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</si>
  <si>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</si>
  <si>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</si>
  <si>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</si>
  <si>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</si>
  <si>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</si>
  <si>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</si>
  <si>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</si>
  <si>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</si>
  <si>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</si>
  <si>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</si>
  <si>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</si>
  <si>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</si>
  <si>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</si>
  <si>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</si>
  <si>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</si>
  <si>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</si>
  <si>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</si>
  <si>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</si>
  <si>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</si>
  <si>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</si>
  <si>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</si>
  <si>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</si>
  <si>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</si>
  <si>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</si>
  <si>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</si>
  <si>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</si>
  <si>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</si>
  <si>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</si>
  <si>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</si>
  <si>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</si>
  <si>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</si>
  <si>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</si>
  <si>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</si>
  <si>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</si>
  <si>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</si>
  <si>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</si>
  <si>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</si>
  <si>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</si>
  <si>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</si>
  <si>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</si>
  <si>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</si>
  <si>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</si>
  <si>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</si>
  <si>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</si>
  <si>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</si>
  <si>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</si>
  <si>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</si>
  <si>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</si>
  <si>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</si>
  <si>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</si>
  <si>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</si>
  <si>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</si>
  <si>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</si>
  <si>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</si>
  <si>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</si>
  <si>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</si>
  <si>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</si>
  <si>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</si>
  <si>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</si>
  <si>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</si>
  <si>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</si>
  <si>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</si>
  <si>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</si>
  <si>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</si>
  <si>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</si>
  <si>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</si>
  <si>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</si>
  <si>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</si>
  <si>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</si>
  <si>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</si>
  <si>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</si>
  <si>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</si>
  <si>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</si>
  <si>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</si>
  <si>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</si>
  <si>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</si>
  <si>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</si>
  <si>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</si>
  <si>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</si>
  <si>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</si>
  <si>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</si>
  <si>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</si>
  <si>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</si>
  <si>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</si>
  <si>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</si>
  <si>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</si>
  <si>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</si>
  <si>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</si>
  <si>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</si>
  <si>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</si>
  <si>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</si>
  <si>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</si>
  <si>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</si>
  <si>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</si>
  <si>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</si>
  <si>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</si>
  <si>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</si>
  <si>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</si>
  <si>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</si>
  <si>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</si>
  <si>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</si>
  <si>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</si>
  <si>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</si>
  <si>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</si>
  <si>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</si>
  <si>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</si>
  <si>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</si>
  <si>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</si>
  <si>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</si>
  <si>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</si>
  <si>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</si>
  <si>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</si>
  <si>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</si>
  <si>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</si>
  <si>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</si>
  <si>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</si>
  <si>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</si>
  <si>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</si>
  <si>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</si>
  <si>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</si>
  <si>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</si>
  <si>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</si>
  <si>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</si>
  <si>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</si>
  <si>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</si>
  <si>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</si>
  <si>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</si>
  <si>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</si>
  <si>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</si>
  <si>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</si>
  <si>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</si>
  <si>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</si>
  <si>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</si>
  <si>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</si>
  <si>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</si>
  <si>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</si>
  <si>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</si>
  <si>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</si>
  <si>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</si>
  <si>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</si>
  <si>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</si>
  <si>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</si>
  <si>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</si>
  <si>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</si>
  <si>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</si>
  <si>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</si>
  <si>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</si>
  <si>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</si>
  <si>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</si>
  <si>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</si>
  <si>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</si>
  <si>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</si>
  <si>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</si>
  <si>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</si>
  <si>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</si>
  <si>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</si>
  <si>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</si>
  <si>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</si>
  <si>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</si>
  <si>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</si>
  <si>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</si>
  <si>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</si>
  <si>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</si>
  <si>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</si>
  <si>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</si>
  <si>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</si>
  <si>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</si>
  <si>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</si>
  <si>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</si>
  <si>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</si>
  <si>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</si>
  <si>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</si>
  <si>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</si>
  <si>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</si>
  <si>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</si>
  <si>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</si>
  <si>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</si>
  <si>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</si>
  <si>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</si>
  <si>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</si>
  <si>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</si>
  <si>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</si>
  <si>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</si>
  <si>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</si>
  <si>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</si>
  <si>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</si>
  <si>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</si>
  <si>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</si>
  <si>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</si>
  <si>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</si>
  <si>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</si>
  <si>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</si>
  <si>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</si>
  <si>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</si>
  <si>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</si>
  <si>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</si>
  <si>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</si>
  <si>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</si>
  <si>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</si>
  <si>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</si>
  <si>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</si>
  <si>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</si>
  <si>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</si>
  <si>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</si>
  <si>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</si>
  <si>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</si>
  <si>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</si>
  <si>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</si>
  <si>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</si>
  <si>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</si>
  <si>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</si>
  <si>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</si>
  <si>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</si>
  <si>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</si>
  <si>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</si>
  <si>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</si>
  <si>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</si>
  <si>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</si>
  <si>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</si>
  <si>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</si>
  <si>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</si>
  <si>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</si>
  <si>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</si>
  <si>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</si>
  <si>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</si>
  <si>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</si>
  <si>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</si>
  <si>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</si>
  <si>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</si>
  <si>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</si>
  <si>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</si>
  <si>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</si>
  <si>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</si>
  <si>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</si>
  <si>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</si>
  <si>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</si>
  <si>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</si>
  <si>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</si>
  <si>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</si>
  <si>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</si>
  <si>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</si>
  <si>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</si>
  <si>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</si>
  <si>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</si>
  <si>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</si>
  <si>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</si>
  <si>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</si>
  <si>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</si>
  <si>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</si>
  <si>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</si>
  <si>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</si>
  <si>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</si>
  <si>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</si>
  <si>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</si>
  <si>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</si>
  <si>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</si>
  <si>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</si>
  <si>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</si>
  <si>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</si>
  <si>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</si>
  <si>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</si>
  <si>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</si>
  <si>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</si>
  <si>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</si>
  <si>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</si>
  <si>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</si>
  <si>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</si>
  <si>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</si>
  <si>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</si>
  <si>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</si>
  <si>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</si>
  <si>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</si>
  <si>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</si>
  <si>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</si>
  <si>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</si>
  <si>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</si>
  <si>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</si>
  <si>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</si>
  <si>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</si>
  <si>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</si>
  <si>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</si>
  <si>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</si>
  <si>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</si>
  <si>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</si>
  <si>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</si>
  <si>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</si>
  <si>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</si>
  <si>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</si>
  <si>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</si>
  <si>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</si>
  <si>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</si>
  <si>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</si>
  <si>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</si>
  <si>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</si>
  <si>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</si>
  <si>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</si>
  <si>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</si>
  <si>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</si>
  <si>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</si>
  <si>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</si>
  <si>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</si>
  <si>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</si>
  <si>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</si>
  <si>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</si>
  <si>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</si>
  <si>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</si>
  <si>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</si>
  <si>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</si>
  <si>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</si>
  <si>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</si>
  <si>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</si>
  <si>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</si>
  <si>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</si>
  <si>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</si>
  <si>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</si>
  <si>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</si>
  <si>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</si>
  <si>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</si>
  <si>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</si>
  <si>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</si>
  <si>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</si>
  <si>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</si>
  <si>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</si>
  <si>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</si>
  <si>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</si>
  <si>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</si>
  <si>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</si>
  <si>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</si>
  <si>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</si>
  <si>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</si>
  <si>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</si>
  <si>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</si>
  <si>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</si>
  <si>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</si>
  <si>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</si>
  <si>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</si>
  <si>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</si>
  <si>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</si>
  <si>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</si>
  <si>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</si>
  <si>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</si>
  <si>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</si>
  <si>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</si>
  <si>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</si>
  <si>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</si>
  <si>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</si>
  <si>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</si>
  <si>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</si>
  <si>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</si>
  <si>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</si>
  <si>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</si>
  <si>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</si>
  <si>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</si>
  <si>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</si>
  <si>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</si>
  <si>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</si>
  <si>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</si>
  <si>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</si>
  <si>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</si>
  <si>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</si>
  <si>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</si>
  <si>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</si>
  <si>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</si>
  <si>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</si>
  <si>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</si>
  <si>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</si>
  <si>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</si>
  <si>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</si>
  <si>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</si>
  <si>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</si>
  <si>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</si>
  <si>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</si>
  <si>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</si>
  <si>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</si>
  <si>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</si>
  <si>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</si>
  <si>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</si>
  <si>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</si>
  <si>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</si>
  <si>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</si>
  <si>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</si>
  <si>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</si>
  <si>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</si>
  <si>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</si>
  <si>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</si>
  <si>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</si>
  <si>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</si>
  <si>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</si>
  <si>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</si>
  <si>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</si>
  <si>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</si>
  <si>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</si>
  <si>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</si>
  <si>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</si>
  <si>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</si>
  <si>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</si>
  <si>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</si>
  <si>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</si>
  <si>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</si>
  <si>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</si>
  <si>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</si>
  <si>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</si>
  <si>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</si>
  <si>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</si>
  <si>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</si>
  <si>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</si>
  <si>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</si>
  <si>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</si>
  <si>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</si>
  <si>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</si>
  <si>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</si>
  <si>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</si>
  <si>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</si>
  <si>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</si>
  <si>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</si>
  <si>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</si>
  <si>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</si>
  <si>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</si>
  <si>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</si>
  <si>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</si>
  <si>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</si>
  <si>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</si>
  <si>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</si>
  <si>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</si>
  <si>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</si>
  <si>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</si>
  <si>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</si>
  <si>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</si>
  <si>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</si>
  <si>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</si>
  <si>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</si>
  <si>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</si>
  <si>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</si>
  <si>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</si>
  <si>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</si>
  <si>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</si>
  <si>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</si>
  <si>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</si>
  <si>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</si>
  <si>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</si>
  <si>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</si>
  <si>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</si>
  <si>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</si>
  <si>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</si>
  <si>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</si>
  <si>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</si>
  <si>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</si>
  <si>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</si>
  <si>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</si>
  <si>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</si>
  <si>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</si>
  <si>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</si>
  <si>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</si>
  <si>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</si>
  <si>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</si>
  <si>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</si>
  <si>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</si>
  <si>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</si>
  <si>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</si>
  <si>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</si>
  <si>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</si>
  <si>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</si>
  <si>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</si>
  <si>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</si>
  <si>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</si>
  <si>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</si>
  <si>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</si>
  <si>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</si>
  <si>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</si>
  <si>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</si>
  <si>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</si>
  <si>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</si>
  <si>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</si>
  <si>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</si>
  <si>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</si>
  <si>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</si>
  <si>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</si>
  <si>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</si>
  <si>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</si>
  <si>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</si>
  <si>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</si>
  <si>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</si>
  <si>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</si>
  <si>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</si>
  <si>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</si>
  <si>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</si>
  <si>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</si>
  <si>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</si>
  <si>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</si>
  <si>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</si>
  <si>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</si>
  <si>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</si>
  <si>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</si>
  <si>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</si>
  <si>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</si>
  <si>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</si>
  <si>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</si>
  <si>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</si>
  <si>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</si>
  <si>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</si>
  <si>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</si>
  <si>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</si>
  <si>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</si>
  <si>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</si>
  <si>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</si>
  <si>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</si>
  <si>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</si>
  <si>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</si>
  <si>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</si>
  <si>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</si>
  <si>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</si>
  <si>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</si>
  <si>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</si>
  <si>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</si>
  <si>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</si>
  <si>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</si>
  <si>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</si>
  <si>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</si>
  <si>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</si>
  <si>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</si>
  <si>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</si>
  <si>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</si>
  <si>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</si>
  <si>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</si>
  <si>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</si>
  <si>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</si>
  <si>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</si>
  <si>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</si>
  <si>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</si>
  <si>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</si>
  <si>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</si>
  <si>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</si>
  <si>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</si>
  <si>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</si>
  <si>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</si>
  <si>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</si>
  <si>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</si>
  <si>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</si>
  <si>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</si>
  <si>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</si>
  <si>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</si>
  <si>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</si>
  <si>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</si>
  <si>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</si>
  <si>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</si>
  <si>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</si>
  <si>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</si>
  <si>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</si>
  <si>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</si>
  <si>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</si>
  <si>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</si>
  <si>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</si>
  <si>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</si>
  <si>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</si>
  <si>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</si>
  <si>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</si>
  <si>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</si>
  <si>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</si>
  <si>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</si>
  <si>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</si>
  <si>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</si>
  <si>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</si>
  <si>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</si>
  <si>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</si>
  <si>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</si>
  <si>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</si>
  <si>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</si>
  <si>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</si>
  <si>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</si>
  <si>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</si>
  <si>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</si>
  <si>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</si>
  <si>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</si>
  <si>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</si>
  <si>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</si>
  <si>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</si>
  <si>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</si>
  <si>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</si>
  <si>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</si>
  <si>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</si>
  <si>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</si>
  <si>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</si>
  <si>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</si>
  <si>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</si>
  <si>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</si>
  <si>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</si>
  <si>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</si>
  <si>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</si>
  <si>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</si>
  <si>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</si>
  <si>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</si>
  <si>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</si>
  <si>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</si>
  <si>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</si>
  <si>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</si>
  <si>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</si>
  <si>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</si>
  <si>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</si>
  <si>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</si>
  <si>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</si>
  <si>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</si>
  <si>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</si>
  <si>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</si>
  <si>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</si>
  <si>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</si>
  <si>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</si>
  <si>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</si>
  <si>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</si>
  <si>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</si>
  <si>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</si>
  <si>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</si>
  <si>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</si>
  <si>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</si>
  <si>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</si>
  <si>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</si>
  <si>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</si>
  <si>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</si>
  <si>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</si>
  <si>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</si>
  <si>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</si>
  <si>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</si>
  <si>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</si>
  <si>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</si>
  <si>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</si>
  <si>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</si>
  <si>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</si>
  <si>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</si>
  <si>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</si>
  <si>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</si>
  <si>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</si>
  <si>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</si>
  <si>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</si>
  <si>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</si>
  <si>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</si>
  <si>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</si>
  <si>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</si>
  <si>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</si>
  <si>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</si>
  <si>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</si>
  <si>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</si>
  <si>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</si>
  <si>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</si>
  <si>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</si>
  <si>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</si>
  <si>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</si>
  <si>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</si>
  <si>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</si>
  <si>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</si>
  <si>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</si>
  <si>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</si>
  <si>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</si>
  <si>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</si>
  <si>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</si>
  <si>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</si>
  <si>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</si>
  <si>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</si>
  <si>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</si>
  <si>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</si>
  <si>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</si>
  <si>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</si>
  <si>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</si>
  <si>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</si>
  <si>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</si>
  <si>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</si>
  <si>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</si>
  <si>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</si>
  <si>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</si>
  <si>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</si>
  <si>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</si>
  <si>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</si>
  <si>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</si>
  <si>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</si>
  <si>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</si>
  <si>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</si>
  <si>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</si>
  <si>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</si>
  <si>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</si>
  <si>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</si>
  <si>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</si>
  <si>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</si>
  <si>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</si>
  <si>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</si>
  <si>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</si>
  <si>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</si>
  <si>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</si>
  <si>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</si>
  <si>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</si>
  <si>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</si>
  <si>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</si>
  <si>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</si>
  <si>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</si>
  <si>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</si>
  <si>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</si>
  <si>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</si>
  <si>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</si>
  <si>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</si>
  <si>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</si>
  <si>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</si>
  <si>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</si>
  <si>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</si>
  <si>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</si>
  <si>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</si>
  <si>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</si>
  <si>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</si>
  <si>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</si>
  <si>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</si>
  <si>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</si>
  <si>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</si>
  <si>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</si>
  <si>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</si>
  <si>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</si>
  <si>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</si>
  <si>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</si>
  <si>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</si>
  <si>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</si>
  <si>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</si>
  <si>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</si>
  <si>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</si>
  <si>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</si>
  <si>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</si>
  <si>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</si>
  <si>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</si>
  <si>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</si>
  <si>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</si>
  <si>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</si>
  <si>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</si>
  <si>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</si>
  <si>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</si>
  <si>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</si>
  <si>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</si>
  <si>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</si>
  <si>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</si>
  <si>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</si>
  <si>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</si>
  <si>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</si>
  <si>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</si>
  <si>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</si>
  <si>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</si>
  <si>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</si>
  <si>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</si>
  <si>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</si>
  <si>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</si>
  <si>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</si>
  <si>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</si>
  <si>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</si>
  <si>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</si>
  <si>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</si>
  <si>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</si>
  <si>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</si>
  <si>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</si>
  <si>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</si>
  <si>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</si>
  <si>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</si>
  <si>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</si>
  <si>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</si>
  <si>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</si>
  <si>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</si>
  <si>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</si>
  <si>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</si>
  <si>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</si>
  <si>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</si>
  <si>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</si>
  <si>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</si>
  <si>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</si>
  <si>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</si>
  <si>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</si>
  <si>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</si>
  <si>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</si>
  <si>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</si>
  <si>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</si>
  <si>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</si>
  <si>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</si>
  <si>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</si>
  <si>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</si>
  <si>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</si>
  <si>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</si>
  <si>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</si>
  <si>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</si>
  <si>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</si>
  <si>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</si>
  <si>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</si>
  <si>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</si>
  <si>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</si>
  <si>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</si>
  <si>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</si>
  <si>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</si>
  <si>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</si>
  <si>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</si>
  <si>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</si>
  <si>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</si>
  <si>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</si>
  <si>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</si>
  <si>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</si>
  <si>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</si>
  <si>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</si>
  <si>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</si>
  <si>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</si>
  <si>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</si>
  <si>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</si>
  <si>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</si>
  <si>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</si>
  <si>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</si>
  <si>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</si>
  <si>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</si>
  <si>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</si>
  <si>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</si>
  <si>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</si>
  <si>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</si>
  <si>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</si>
  <si>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</si>
  <si>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</si>
  <si>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</si>
  <si>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</si>
  <si>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</si>
  <si>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</si>
  <si>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</si>
  <si>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</si>
  <si>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</si>
  <si>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</si>
  <si>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</si>
  <si>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</si>
  <si>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</si>
  <si>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</si>
  <si>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</si>
  <si>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</si>
  <si>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</si>
  <si>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</si>
  <si>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</si>
  <si>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</si>
  <si>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</si>
  <si>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</si>
  <si>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</si>
  <si>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</si>
  <si>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</si>
  <si>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</si>
  <si>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</si>
  <si>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</si>
  <si>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</si>
  <si>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</si>
  <si>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</si>
  <si>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</si>
  <si>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</si>
  <si>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</si>
  <si>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</si>
  <si>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</si>
  <si>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</si>
  <si>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</si>
  <si>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</si>
  <si>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</si>
  <si>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</si>
  <si>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</si>
  <si>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</si>
  <si>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</si>
  <si>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</si>
  <si>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</si>
  <si>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</si>
  <si>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</si>
  <si>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</si>
  <si>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</si>
  <si>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</si>
  <si>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</si>
  <si>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</si>
  <si>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</si>
  <si>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</si>
  <si>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</si>
  <si>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</si>
  <si>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</si>
  <si>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</si>
  <si>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</si>
  <si>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</si>
  <si>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</si>
  <si>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</si>
  <si>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</si>
  <si>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</si>
  <si>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</si>
  <si>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</si>
  <si>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</si>
  <si>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</si>
  <si>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</si>
  <si>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</si>
  <si>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</si>
  <si>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</si>
  <si>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</si>
  <si>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</si>
  <si>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</si>
  <si>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</si>
  <si>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</si>
  <si>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</si>
  <si>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</si>
  <si>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</si>
  <si>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</si>
  <si>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</si>
  <si>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</si>
  <si>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</si>
  <si>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</si>
  <si>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</si>
  <si>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</si>
  <si>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</si>
  <si>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</si>
  <si>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</si>
  <si>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</si>
  <si>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</si>
  <si>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</si>
  <si>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</si>
  <si>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</si>
  <si>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</si>
  <si>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</si>
  <si>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</si>
  <si>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</si>
  <si>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</si>
  <si>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</si>
  <si>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</si>
  <si>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</si>
  <si>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</si>
  <si>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</si>
  <si>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</si>
  <si>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</si>
  <si>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</si>
  <si>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</si>
  <si>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</si>
  <si>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</si>
  <si>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</si>
  <si>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</si>
  <si>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</si>
  <si>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</si>
  <si>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</si>
  <si>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</si>
  <si>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</si>
  <si>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</si>
  <si>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</si>
  <si>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</si>
  <si>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</si>
  <si>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</si>
  <si>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</si>
  <si>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</si>
  <si>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</si>
  <si>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</si>
  <si>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</si>
  <si>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</si>
  <si>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</si>
  <si>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</si>
  <si>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</si>
  <si>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</si>
  <si>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</si>
  <si>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</si>
  <si>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</si>
  <si>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</si>
  <si>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</si>
  <si>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</si>
  <si>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</si>
  <si>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</si>
  <si>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</si>
  <si>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</si>
  <si>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</si>
  <si>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</si>
  <si>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</si>
  <si>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</si>
  <si>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</si>
  <si>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</si>
  <si>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</si>
  <si>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</si>
  <si>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</si>
  <si>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</si>
  <si>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</si>
  <si>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</si>
  <si>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</si>
  <si>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</si>
  <si>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</si>
  <si>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</si>
  <si>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</si>
  <si>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</si>
  <si>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</si>
  <si>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</si>
  <si>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</si>
  <si>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</si>
  <si>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</si>
  <si>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</si>
  <si>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</si>
  <si>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</si>
  <si>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</si>
  <si>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</si>
  <si>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</si>
  <si>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</si>
  <si>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</si>
  <si>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</si>
  <si>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</si>
  <si>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</si>
  <si>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</si>
  <si>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</si>
  <si>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</si>
  <si>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</si>
  <si>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</si>
  <si>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</si>
  <si>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</si>
  <si>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</si>
  <si>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</si>
  <si>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</si>
  <si>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</si>
  <si>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</si>
  <si>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</si>
  <si>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</si>
  <si>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</si>
  <si>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</si>
  <si>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</si>
  <si>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</si>
  <si>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</si>
  <si>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</si>
  <si>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</si>
  <si>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</si>
  <si>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</si>
  <si>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</si>
  <si>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</si>
  <si>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</si>
  <si>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</si>
  <si>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</si>
  <si>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</si>
  <si>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</si>
  <si>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</si>
  <si>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</si>
  <si>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</si>
  <si>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</si>
  <si>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</si>
  <si>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</si>
  <si>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</si>
  <si>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</si>
  <si>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</si>
  <si>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</si>
  <si>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</si>
  <si>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</si>
  <si>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</si>
  <si>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</si>
  <si>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</si>
  <si>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</si>
  <si>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</si>
  <si>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</si>
  <si>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</si>
  <si>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</si>
  <si>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</si>
  <si>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</si>
  <si>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</si>
  <si>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</si>
  <si>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</si>
  <si>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</si>
  <si>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</si>
  <si>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</si>
  <si>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</si>
  <si>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</si>
  <si>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</si>
  <si>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</si>
  <si>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</si>
  <si>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</si>
  <si>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</si>
  <si>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</si>
  <si>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</si>
  <si>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</si>
  <si>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</si>
  <si>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</si>
  <si>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</si>
  <si>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</si>
  <si>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</si>
  <si>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</si>
  <si>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</si>
  <si>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</si>
  <si>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</si>
  <si>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</si>
  <si>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</si>
  <si>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</si>
  <si>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</si>
  <si>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</si>
  <si>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</si>
  <si>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</si>
  <si>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</si>
  <si>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</si>
  <si>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</si>
  <si>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</si>
  <si>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</si>
  <si>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</si>
  <si>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</si>
  <si>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</si>
  <si>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</si>
  <si>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</si>
  <si>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</si>
  <si>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</si>
  <si>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</si>
  <si>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</si>
  <si>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</si>
  <si>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</si>
  <si>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</si>
  <si>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</si>
  <si>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</si>
  <si>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</si>
  <si>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</si>
  <si>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</si>
  <si>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</si>
  <si>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</si>
  <si>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</si>
  <si>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</si>
  <si>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</si>
  <si>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</si>
  <si>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</si>
  <si>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</si>
  <si>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</si>
  <si>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</si>
  <si>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</si>
  <si>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</si>
  <si>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</si>
  <si>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</si>
  <si>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</si>
  <si>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</si>
  <si>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</si>
  <si>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</si>
  <si>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</si>
  <si>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</si>
  <si>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</si>
  <si>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</si>
  <si>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</si>
  <si>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</si>
  <si>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</si>
  <si>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</si>
  <si>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</si>
  <si>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</si>
  <si>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</si>
  <si>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</si>
  <si>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</si>
  <si>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</si>
  <si>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</si>
  <si>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</si>
  <si>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</si>
  <si>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</si>
  <si>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</si>
  <si>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</si>
  <si>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</si>
  <si>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</si>
  <si>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</si>
  <si>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</si>
  <si>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</si>
  <si>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</si>
  <si>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</si>
  <si>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</si>
  <si>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</si>
  <si>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</si>
  <si>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</si>
  <si>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</si>
  <si>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</si>
  <si>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</si>
  <si>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</si>
  <si>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</si>
  <si>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</si>
  <si>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</si>
  <si>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</si>
  <si>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</si>
  <si>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</si>
  <si>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</si>
  <si>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</si>
  <si>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</si>
  <si>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</si>
  <si>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</si>
  <si>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</si>
  <si>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</si>
  <si>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</si>
  <si>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</si>
  <si>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</si>
  <si>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</si>
  <si>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</si>
  <si>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</si>
  <si>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</si>
  <si>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</si>
  <si>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</si>
  <si>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</si>
  <si>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</si>
  <si>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</si>
  <si>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</si>
  <si>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</si>
  <si>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</si>
  <si>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</si>
  <si>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</si>
  <si>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</si>
  <si>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</si>
  <si>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</si>
  <si>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</si>
  <si>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</si>
  <si>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</si>
  <si>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</si>
  <si>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</si>
  <si>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</si>
  <si>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</si>
  <si>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</si>
  <si>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</si>
  <si>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</si>
  <si>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</si>
  <si>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</si>
  <si>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</si>
  <si>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</si>
  <si>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</si>
  <si>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</si>
  <si>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</si>
  <si>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</si>
  <si>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</si>
  <si>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</si>
  <si>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</si>
  <si>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</si>
  <si>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</si>
  <si>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</si>
  <si>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</si>
  <si>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</si>
  <si>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</si>
  <si>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</si>
  <si>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</si>
  <si>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</si>
  <si>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</si>
  <si>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</si>
  <si>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</si>
  <si>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</si>
  <si>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</si>
  <si>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</si>
  <si>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</si>
  <si>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</si>
  <si>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</si>
  <si>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</si>
  <si>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</si>
  <si>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</si>
  <si>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</si>
  <si>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</si>
  <si>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</si>
  <si>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</si>
  <si>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</si>
  <si>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</si>
  <si>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</si>
  <si>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</si>
  <si>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</si>
  <si>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</si>
  <si>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</si>
  <si>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</si>
  <si>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</si>
  <si>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</si>
  <si>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</si>
  <si>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</si>
  <si>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</si>
  <si>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</si>
  <si>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</si>
  <si>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</si>
  <si>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</si>
  <si>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</si>
  <si>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</si>
  <si>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</si>
  <si>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</si>
  <si>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</si>
  <si>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</si>
  <si>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</si>
  <si>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</si>
  <si>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</si>
  <si>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</si>
  <si>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</si>
  <si>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</si>
  <si>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</si>
  <si>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</si>
  <si>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</si>
  <si>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</si>
  <si>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</si>
  <si>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</si>
  <si>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</si>
  <si>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</si>
  <si>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</si>
  <si>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</si>
  <si>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</si>
  <si>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</si>
  <si>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</si>
  <si>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</si>
  <si>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</si>
  <si>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</si>
  <si>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</si>
  <si>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</si>
  <si>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</si>
  <si>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</si>
  <si>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</si>
  <si>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</si>
  <si>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</si>
  <si>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</si>
  <si>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</si>
  <si>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</si>
  <si>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</si>
  <si>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</si>
  <si>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</si>
  <si>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</si>
  <si>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</si>
  <si>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</si>
  <si>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</si>
  <si>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</si>
  <si>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</si>
  <si>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</si>
  <si>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</si>
  <si>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</si>
  <si>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</si>
  <si>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</si>
  <si>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</si>
  <si>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</si>
  <si>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</si>
  <si>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</si>
  <si>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</si>
  <si>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</si>
  <si>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</si>
  <si>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</si>
  <si>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</si>
  <si>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</si>
  <si>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</si>
  <si>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</si>
  <si>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</si>
  <si>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</si>
  <si>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</si>
  <si>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</si>
  <si>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</si>
  <si>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</si>
  <si>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</si>
  <si>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</si>
  <si>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</si>
  <si>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</si>
  <si>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</si>
  <si>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</si>
  <si>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</si>
  <si>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</si>
  <si>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</si>
  <si>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</si>
  <si>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</si>
  <si>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</si>
  <si>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</si>
  <si>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</si>
  <si>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</si>
  <si>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</si>
  <si>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</si>
  <si>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</si>
  <si>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</si>
  <si>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</si>
  <si>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</si>
  <si>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</si>
  <si>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</si>
  <si>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</si>
  <si>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</si>
  <si>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</si>
  <si>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</si>
  <si>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</si>
  <si>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</si>
  <si>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</si>
  <si>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</si>
  <si>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</si>
  <si>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</si>
  <si>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</si>
  <si>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</si>
  <si>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</si>
  <si>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</si>
  <si>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</si>
  <si>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</si>
  <si>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</si>
  <si>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</si>
  <si>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</si>
  <si>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</si>
  <si>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</si>
  <si>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</si>
  <si>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</si>
  <si>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</si>
  <si>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</si>
  <si>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</si>
  <si>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</si>
  <si>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</si>
  <si>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</si>
  <si>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</si>
  <si>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</si>
  <si>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</si>
  <si>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</si>
  <si>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</si>
  <si>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</si>
  <si>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</si>
  <si>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</si>
  <si>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</si>
  <si>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</si>
  <si>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</si>
  <si>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</si>
  <si>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</si>
  <si>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</si>
  <si>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</si>
  <si>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</si>
  <si>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</si>
  <si>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</si>
  <si>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</si>
  <si>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</si>
  <si>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</si>
  <si>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</si>
  <si>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</si>
  <si>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</si>
  <si>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</si>
  <si>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</si>
  <si>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</si>
  <si>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</si>
  <si>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</si>
  <si>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</si>
  <si>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</si>
  <si>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</si>
  <si>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</si>
  <si>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</si>
  <si>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</si>
  <si>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</si>
  <si>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</si>
  <si>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</si>
  <si>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</si>
  <si>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</si>
  <si>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</si>
  <si>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</si>
  <si>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</si>
  <si>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</si>
  <si>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</si>
  <si>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</si>
  <si>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</si>
  <si>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</si>
  <si>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</si>
  <si>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</si>
  <si>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</si>
  <si>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</si>
  <si>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</si>
  <si>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</si>
  <si>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</si>
  <si>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</si>
  <si>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</si>
  <si>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</si>
  <si>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</si>
  <si>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</si>
  <si>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</si>
  <si>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</si>
  <si>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</si>
  <si>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</si>
  <si>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</si>
  <si>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</si>
  <si>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</si>
  <si>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</si>
  <si>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</si>
  <si>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</si>
  <si>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</si>
  <si>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</si>
  <si>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</si>
  <si>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</si>
  <si>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</si>
  <si>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</si>
  <si>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</si>
  <si>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</si>
  <si>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</si>
  <si>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</si>
  <si>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</si>
  <si>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</si>
  <si>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</si>
  <si>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</si>
  <si>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</si>
  <si>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</si>
  <si>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</si>
  <si>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</si>
  <si>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</si>
  <si>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</si>
  <si>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</si>
  <si>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</si>
  <si>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</si>
  <si>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</si>
  <si>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</si>
  <si>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</si>
  <si>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</si>
  <si>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</si>
  <si>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</si>
  <si>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</si>
  <si>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</si>
  <si>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</si>
  <si>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</si>
  <si>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</si>
  <si>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</si>
  <si>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</si>
  <si>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</si>
  <si>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</si>
  <si>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</si>
  <si>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</si>
  <si>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</si>
  <si>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</si>
  <si>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</si>
  <si>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</si>
  <si>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</si>
  <si>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</si>
  <si>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</si>
  <si>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</si>
  <si>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</si>
  <si>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</si>
  <si>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</si>
  <si>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</si>
  <si>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</si>
  <si>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</si>
  <si>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</si>
  <si>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</si>
  <si>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</si>
  <si>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</si>
  <si>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</si>
  <si>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</si>
  <si>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</si>
  <si>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</si>
  <si>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</si>
  <si>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</si>
  <si>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</si>
  <si>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</si>
  <si>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</si>
  <si>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</si>
  <si>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</si>
  <si>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</si>
  <si>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</si>
  <si>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</si>
  <si>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</si>
  <si>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</si>
  <si>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</si>
  <si>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</si>
  <si>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</si>
  <si>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</si>
  <si>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</si>
  <si>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</si>
  <si>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</si>
  <si>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</si>
  <si>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</si>
  <si>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</si>
  <si>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</si>
  <si>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</si>
  <si>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</si>
  <si>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</si>
  <si>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</si>
  <si>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</si>
  <si>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</si>
  <si>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</si>
  <si>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</si>
  <si>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</si>
  <si>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</si>
  <si>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</si>
  <si>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</si>
  <si>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</si>
  <si>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</si>
  <si>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</si>
  <si>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</si>
  <si>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</si>
  <si>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</si>
  <si>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</si>
  <si>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</si>
  <si>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</si>
  <si>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</si>
  <si>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</si>
  <si>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</si>
  <si>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</si>
  <si>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</si>
  <si>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</si>
  <si>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</si>
  <si>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</si>
  <si>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</si>
  <si>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</si>
  <si>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</si>
  <si>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</si>
  <si>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</si>
  <si>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</si>
  <si>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</si>
  <si>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</si>
  <si>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</si>
  <si>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</si>
  <si>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</si>
  <si>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</si>
  <si>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</si>
  <si>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</si>
  <si>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</si>
  <si>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</si>
  <si>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</si>
  <si>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</si>
  <si>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</si>
  <si>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</si>
  <si>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</si>
  <si>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</si>
  <si>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</si>
  <si>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</si>
  <si>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</si>
  <si>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</si>
  <si>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</si>
  <si>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</si>
  <si>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</si>
  <si>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</si>
  <si>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</si>
  <si>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</si>
  <si>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</si>
  <si>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</si>
  <si>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</si>
  <si>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</si>
  <si>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</si>
  <si>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</si>
  <si>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</si>
  <si>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</si>
  <si>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</si>
  <si>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</si>
  <si>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</si>
  <si>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</si>
  <si>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</si>
  <si>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</si>
  <si>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</si>
  <si>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</si>
  <si>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</si>
  <si>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</si>
  <si>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</si>
  <si>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</si>
  <si>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</si>
  <si>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</si>
  <si>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</si>
  <si>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</si>
  <si>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</si>
  <si>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</si>
  <si>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</si>
  <si>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</si>
  <si>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</si>
  <si>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</si>
  <si>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</si>
  <si>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</si>
  <si>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</si>
  <si>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</si>
  <si>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</si>
  <si>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</si>
  <si>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</si>
  <si>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</si>
  <si>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</si>
  <si>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</si>
  <si>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</si>
  <si>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</si>
  <si>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</si>
  <si>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</si>
  <si>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</si>
  <si>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</si>
  <si>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</si>
  <si>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</si>
  <si>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</si>
  <si>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</si>
  <si>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</si>
  <si>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</si>
  <si>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</si>
  <si>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</si>
  <si>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</si>
  <si>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</si>
  <si>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</si>
  <si>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</si>
  <si>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</si>
  <si>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</si>
  <si>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</si>
  <si>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</si>
  <si>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</si>
  <si>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</si>
  <si>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</si>
  <si>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</si>
  <si>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</si>
  <si>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</si>
  <si>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</si>
  <si>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</si>
  <si>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</si>
  <si>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</si>
  <si>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</si>
  <si>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</si>
  <si>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</si>
  <si>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</si>
  <si>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</si>
  <si>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</si>
  <si>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</si>
  <si>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</si>
  <si>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</si>
  <si>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</si>
  <si>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</si>
  <si>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</si>
  <si>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</si>
  <si>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</si>
  <si>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</si>
  <si>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</si>
  <si>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</si>
  <si>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</si>
  <si>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</si>
  <si>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</si>
  <si>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</si>
  <si>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</si>
  <si>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</si>
  <si>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</si>
  <si>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</si>
  <si>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</si>
  <si>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</si>
  <si>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</si>
  <si>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</si>
  <si>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</si>
  <si>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</si>
  <si>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</si>
  <si>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</si>
  <si>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</si>
  <si>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</si>
  <si>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</si>
  <si>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</si>
  <si>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</si>
  <si>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</si>
  <si>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</si>
  <si>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</si>
  <si>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</si>
  <si>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</si>
  <si>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</si>
  <si>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</si>
  <si>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</si>
  <si>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</si>
  <si>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</si>
  <si>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</si>
  <si>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</si>
  <si>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</si>
  <si>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</si>
  <si>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</si>
  <si>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</si>
  <si>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</si>
  <si>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</si>
  <si>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</si>
  <si>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</si>
  <si>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</si>
  <si>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</si>
  <si>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</si>
  <si>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</si>
  <si>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</si>
  <si>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</si>
  <si>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</si>
  <si>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</si>
  <si>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</si>
  <si>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</si>
  <si>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</si>
  <si>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</si>
  <si>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</si>
  <si>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</si>
  <si>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</si>
  <si>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</si>
  <si>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</si>
  <si>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</si>
  <si>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</si>
  <si>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</si>
  <si>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</si>
  <si>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</si>
  <si>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</si>
  <si>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</si>
  <si>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</si>
  <si>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</si>
  <si>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</si>
  <si>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</si>
  <si>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</si>
  <si>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</si>
  <si>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</si>
  <si>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</si>
  <si>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</si>
  <si>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</si>
  <si>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</si>
  <si>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</si>
  <si>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</si>
  <si>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</si>
  <si>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</si>
  <si>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</si>
  <si>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</si>
  <si>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</si>
  <si>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</si>
  <si>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</si>
  <si>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</si>
  <si>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</si>
  <si>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</si>
  <si>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</si>
  <si>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</si>
  <si>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</si>
  <si>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</si>
  <si>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</si>
  <si>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</si>
  <si>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</si>
  <si>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</si>
  <si>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</si>
  <si>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</si>
  <si>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</si>
  <si>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</si>
  <si>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</si>
  <si>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</si>
  <si>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</si>
  <si>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</si>
  <si>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</si>
  <si>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</si>
  <si>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</si>
  <si>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</si>
  <si>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</si>
  <si>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</si>
  <si>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</si>
  <si>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</si>
  <si>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</si>
  <si>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</si>
  <si>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</si>
  <si>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</si>
  <si>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</si>
  <si>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</si>
  <si>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</si>
  <si>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</si>
  <si>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</si>
  <si>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</si>
  <si>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</si>
  <si>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</si>
  <si>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</si>
  <si>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</si>
  <si>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</si>
  <si>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</si>
  <si>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</si>
  <si>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</si>
  <si>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</si>
  <si>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</si>
  <si>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</si>
  <si>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</si>
  <si>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</si>
  <si>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</si>
  <si>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</si>
  <si>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</si>
  <si>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</si>
  <si>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</si>
  <si>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</si>
  <si>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</si>
  <si>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</si>
  <si>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</si>
  <si>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</si>
  <si>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</si>
  <si>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</si>
  <si>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</si>
  <si>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</si>
  <si>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</si>
  <si>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</si>
  <si>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</si>
  <si>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</si>
  <si>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</si>
  <si>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</si>
  <si>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</si>
  <si>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</si>
  <si>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</si>
  <si>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</si>
  <si>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</si>
  <si>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</si>
  <si>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</si>
  <si>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</si>
  <si>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</si>
  <si>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</si>
  <si>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</si>
  <si>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</si>
  <si>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</si>
  <si>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</si>
  <si>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</si>
  <si>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</si>
  <si>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</si>
  <si>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</si>
  <si>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</si>
  <si>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</si>
  <si>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</si>
  <si>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</si>
  <si>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</si>
  <si>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</si>
  <si>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</si>
  <si>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</si>
  <si>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</si>
  <si>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</si>
  <si>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</si>
  <si>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</si>
  <si>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</si>
  <si>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</si>
  <si>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</si>
  <si>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</si>
  <si>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</si>
  <si>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</si>
  <si>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</si>
  <si>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</si>
  <si>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</si>
  <si>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</si>
  <si>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</si>
  <si>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</si>
  <si>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</si>
  <si>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</si>
  <si>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</si>
  <si>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</si>
  <si>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</si>
  <si>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</si>
  <si>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</si>
  <si>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</si>
  <si>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</si>
  <si>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</si>
  <si>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</si>
  <si>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</si>
  <si>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</si>
  <si>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</si>
  <si>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</si>
  <si>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</si>
  <si>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</si>
  <si>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</si>
  <si>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</si>
  <si>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</si>
  <si>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</si>
  <si>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</si>
  <si>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</si>
  <si>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</si>
  <si>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</si>
  <si>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</si>
  <si>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</si>
  <si>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</si>
  <si>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</si>
  <si>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</si>
  <si>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</si>
  <si>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</si>
  <si>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</si>
  <si>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</si>
  <si>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</si>
  <si>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</si>
  <si>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</si>
  <si>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</si>
  <si>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</si>
  <si>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</si>
  <si>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</si>
  <si>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</si>
  <si>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</si>
  <si>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</si>
  <si>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</si>
  <si>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</si>
  <si>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</si>
  <si>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</si>
  <si>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</si>
  <si>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</si>
  <si>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</si>
  <si>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</si>
  <si>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</si>
  <si>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</si>
  <si>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</si>
  <si>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</si>
  <si>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</si>
  <si>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</si>
  <si>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</si>
  <si>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</si>
  <si>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</si>
  <si>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</si>
  <si>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</si>
  <si>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</si>
  <si>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</si>
  <si>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</si>
  <si>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</si>
  <si>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</si>
  <si>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</si>
  <si>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</si>
  <si>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</si>
  <si>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</si>
  <si>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</si>
  <si>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</si>
  <si>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</si>
  <si>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</si>
  <si>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</si>
  <si>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</si>
  <si>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</si>
  <si>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</si>
  <si>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</si>
  <si>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</si>
  <si>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</si>
  <si>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</si>
  <si>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</si>
  <si>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</si>
  <si>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</si>
  <si>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</si>
  <si>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</si>
  <si>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</si>
  <si>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</si>
  <si>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</si>
  <si>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</si>
  <si>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</si>
  <si>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</si>
  <si>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</si>
  <si>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</si>
  <si>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</si>
  <si>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</si>
  <si>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</si>
  <si>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</si>
  <si>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</si>
  <si>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</si>
  <si>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</si>
  <si>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</si>
  <si>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</si>
  <si>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</si>
  <si>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</si>
  <si>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</si>
  <si>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</si>
  <si>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</si>
  <si>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</si>
  <si>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</si>
  <si>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</si>
  <si>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</si>
  <si>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</si>
  <si>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</si>
  <si>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</si>
  <si>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</si>
  <si>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</si>
  <si>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</si>
  <si>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</si>
  <si>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</si>
  <si>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</si>
  <si>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</si>
  <si>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</si>
  <si>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</si>
  <si>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</si>
  <si>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</si>
  <si>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</si>
  <si>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</si>
  <si>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</si>
  <si>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</si>
  <si>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</si>
  <si>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</si>
  <si>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</si>
  <si>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</si>
  <si>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</si>
  <si>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</si>
  <si>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</si>
  <si>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</si>
  <si>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</si>
  <si>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</si>
  <si>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</si>
  <si>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</si>
  <si>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</si>
  <si>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</si>
  <si>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</si>
  <si>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</si>
  <si>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</si>
  <si>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</si>
  <si>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</si>
  <si>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</si>
  <si>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</si>
  <si>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</si>
  <si>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</si>
  <si>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</si>
  <si>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</si>
  <si>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</si>
  <si>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</si>
  <si>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</si>
  <si>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</si>
  <si>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</si>
  <si>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</si>
  <si>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</si>
  <si>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</si>
  <si>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</si>
  <si>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</si>
  <si>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</si>
  <si>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</si>
  <si>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</si>
  <si>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</si>
  <si>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</si>
  <si>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</si>
  <si>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</si>
  <si>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</si>
  <si>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</si>
  <si>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</si>
  <si>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</si>
  <si>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</si>
  <si>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</si>
  <si>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</si>
  <si>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</si>
  <si>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</si>
  <si>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</si>
  <si>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</si>
  <si>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</si>
  <si>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</si>
  <si>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</si>
  <si>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</si>
  <si>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</si>
  <si>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</si>
  <si>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</si>
  <si>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</si>
  <si>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</si>
  <si>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</si>
  <si>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</si>
  <si>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</si>
  <si>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</si>
  <si>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</si>
  <si>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</si>
  <si>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</si>
  <si>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</si>
  <si>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</si>
  <si>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</si>
  <si>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</si>
  <si>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</si>
  <si>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</si>
  <si>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</si>
  <si>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</si>
  <si>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</si>
  <si>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</si>
  <si>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</si>
  <si>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</si>
  <si>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</si>
  <si>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</si>
  <si>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</si>
  <si>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</si>
  <si>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</si>
  <si>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</si>
  <si>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</si>
  <si>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</si>
  <si>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</si>
  <si>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</si>
  <si>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</si>
  <si>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</si>
  <si>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</si>
  <si>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</si>
  <si>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</si>
  <si>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</si>
  <si>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</si>
  <si>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</si>
  <si>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</si>
  <si>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</si>
  <si>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</si>
  <si>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</si>
  <si>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</si>
  <si>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</si>
  <si>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</si>
  <si>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</si>
  <si>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</si>
  <si>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</si>
  <si>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</si>
  <si>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</si>
  <si>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</si>
  <si>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</si>
  <si>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</si>
  <si>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</si>
  <si>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</si>
  <si>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</si>
  <si>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</si>
  <si>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</si>
  <si>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</si>
  <si>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</si>
  <si>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</si>
  <si>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</si>
  <si>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</si>
  <si>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</si>
  <si>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</si>
  <si>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</si>
  <si>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</si>
  <si>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</si>
  <si>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</si>
  <si>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</si>
  <si>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</si>
  <si>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</si>
  <si>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</si>
  <si>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</si>
  <si>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</si>
  <si>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</si>
  <si>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</si>
  <si>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</si>
  <si>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</si>
  <si>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</si>
  <si>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</si>
  <si>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</si>
  <si>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</si>
  <si>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</si>
  <si>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</si>
  <si>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</si>
  <si>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</si>
  <si>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</si>
  <si>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</si>
  <si>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</si>
  <si>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</si>
  <si>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</si>
  <si>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</si>
  <si>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</si>
  <si>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</si>
  <si>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</si>
  <si>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</si>
  <si>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</si>
  <si>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</si>
  <si>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</si>
  <si>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</si>
  <si>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</si>
  <si>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</si>
  <si>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</si>
  <si>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</si>
  <si>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</si>
  <si>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</si>
  <si>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</si>
  <si>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</si>
  <si>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</si>
  <si>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</si>
  <si>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</si>
  <si>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</si>
  <si>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</si>
  <si>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</si>
  <si>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</si>
  <si>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</si>
  <si>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</si>
  <si>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</si>
  <si>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</si>
  <si>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</si>
  <si>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</si>
  <si>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</si>
  <si>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</si>
  <si>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</si>
  <si>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</si>
  <si>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</si>
  <si>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</si>
  <si>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</si>
  <si>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</si>
  <si>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</si>
  <si>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</si>
  <si>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</si>
  <si>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</si>
  <si>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</si>
  <si>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</si>
  <si>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</si>
  <si>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</si>
  <si>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</si>
  <si>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</si>
  <si>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</si>
  <si>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</si>
  <si>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</si>
  <si>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</si>
  <si>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</si>
  <si>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</si>
  <si>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</si>
  <si>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</si>
  <si>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</si>
  <si>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</si>
  <si>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</si>
  <si>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</si>
  <si>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</si>
  <si>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</si>
  <si>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</si>
  <si>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</si>
  <si>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</si>
  <si>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</si>
  <si>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</si>
  <si>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</si>
  <si>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</si>
  <si>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</si>
  <si>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</si>
  <si>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</si>
  <si>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</si>
  <si>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</si>
  <si>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</si>
  <si>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</si>
  <si>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</si>
  <si>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</si>
  <si>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</si>
  <si>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</si>
  <si>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</si>
  <si>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</si>
  <si>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</si>
  <si>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</si>
  <si>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</si>
  <si>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</si>
  <si>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</si>
  <si>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</si>
  <si>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</si>
  <si>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</si>
  <si>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</si>
  <si>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</si>
  <si>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</si>
  <si>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</si>
  <si>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</si>
  <si>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</si>
  <si>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</si>
  <si>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</si>
  <si>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</si>
  <si>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</si>
  <si>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</si>
  <si>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</si>
  <si>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</si>
  <si>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</si>
  <si>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</si>
  <si>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</si>
  <si>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</si>
  <si>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</si>
  <si>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</si>
  <si>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</si>
  <si>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</si>
  <si>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</si>
  <si>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</si>
  <si>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</si>
  <si>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</si>
  <si>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</si>
  <si>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</si>
  <si>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</si>
  <si>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</si>
  <si>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</si>
  <si>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</si>
  <si>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</si>
  <si>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</si>
  <si>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</si>
  <si>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</si>
  <si>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</si>
  <si>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</si>
  <si>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</si>
  <si>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</si>
  <si>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</si>
  <si>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</si>
  <si>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</si>
  <si>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</si>
  <si>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</si>
  <si>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</si>
  <si>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</si>
  <si>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</si>
  <si>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</si>
  <si>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</si>
  <si>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</si>
  <si>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</si>
  <si>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</si>
  <si>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</si>
  <si>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</si>
  <si>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</si>
  <si>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</si>
  <si>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</si>
  <si>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</si>
  <si>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</si>
  <si>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</si>
  <si>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</si>
  <si>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</si>
  <si>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</si>
  <si>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</si>
  <si>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</si>
  <si>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</si>
  <si>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</si>
  <si>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</si>
  <si>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</si>
  <si>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</si>
  <si>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</si>
  <si>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</si>
  <si>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</si>
  <si>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</si>
  <si>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</si>
  <si>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</si>
  <si>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</si>
  <si>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</si>
  <si>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</si>
  <si>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</si>
  <si>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</si>
  <si>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</si>
  <si>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</si>
  <si>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</si>
  <si>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</si>
  <si>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</si>
  <si>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</si>
  <si>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</si>
  <si>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</si>
  <si>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</si>
  <si>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</si>
  <si>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</si>
  <si>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</si>
  <si>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</si>
  <si>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</si>
  <si>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</si>
  <si>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</si>
  <si>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</si>
  <si>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</si>
  <si>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</si>
  <si>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</si>
  <si>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</si>
  <si>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</si>
  <si>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</si>
  <si>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</si>
  <si>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</si>
  <si>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</si>
  <si>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</si>
  <si>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</si>
  <si>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</si>
  <si>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</si>
  <si>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</si>
  <si>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</si>
  <si>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</si>
  <si>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</si>
  <si>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</si>
  <si>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</si>
  <si>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</si>
  <si>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</si>
  <si>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</si>
  <si>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</si>
  <si>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</si>
  <si>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</si>
  <si>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</si>
  <si>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</si>
  <si>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</si>
  <si>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</si>
  <si>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</si>
  <si>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</si>
  <si>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</si>
  <si>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</si>
  <si>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</si>
  <si>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</si>
  <si>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</si>
  <si>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</si>
  <si>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</si>
  <si>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</si>
  <si>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</si>
  <si>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</si>
  <si>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</si>
  <si>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</si>
  <si>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</si>
  <si>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</si>
  <si>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</si>
  <si>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</si>
  <si>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</si>
  <si>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</si>
  <si>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</si>
  <si>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</si>
  <si>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</si>
  <si>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</si>
  <si>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</si>
  <si>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</si>
  <si>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</si>
  <si>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</si>
  <si>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</si>
  <si>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</si>
  <si>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</si>
  <si>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</si>
  <si>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</si>
  <si>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</si>
  <si>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</si>
  <si>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</si>
  <si>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</si>
  <si>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</si>
  <si>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</si>
  <si>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</si>
  <si>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</si>
  <si>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</si>
  <si>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</si>
  <si>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</si>
  <si>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</si>
  <si>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</si>
  <si>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</si>
  <si>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</si>
  <si>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</si>
  <si>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</si>
  <si>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</si>
  <si>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</si>
  <si>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</si>
  <si>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</si>
  <si>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</si>
  <si>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</si>
  <si>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</si>
  <si>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</si>
  <si>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</si>
  <si>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</si>
  <si>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</si>
  <si>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</si>
  <si>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</si>
  <si>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</si>
  <si>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</si>
  <si>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</si>
  <si>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</si>
  <si>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</si>
  <si>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</si>
  <si>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</si>
  <si>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</si>
  <si>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</si>
  <si>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</si>
  <si>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</si>
  <si>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</si>
  <si>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</si>
  <si>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</si>
  <si>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</si>
  <si>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</si>
  <si>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</si>
  <si>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</si>
  <si>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</si>
  <si>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</si>
  <si>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</si>
  <si>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</si>
  <si>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</si>
  <si>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</si>
  <si>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</si>
  <si>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</si>
  <si>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</si>
  <si>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</si>
  <si>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</si>
  <si>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</si>
  <si>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</si>
  <si>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</si>
  <si>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</si>
  <si>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</si>
  <si>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</si>
  <si>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</si>
  <si>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</si>
  <si>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</si>
  <si>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</si>
  <si>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</si>
  <si>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</si>
  <si>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</si>
  <si>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</si>
  <si>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</si>
  <si>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</si>
  <si>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</si>
  <si>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</si>
  <si>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</si>
  <si>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</si>
  <si>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</si>
  <si>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</si>
  <si>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</si>
  <si>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</si>
  <si>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</si>
  <si>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</si>
  <si>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</si>
  <si>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</si>
  <si>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</si>
  <si>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</si>
  <si>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</si>
  <si>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</si>
  <si>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</si>
  <si>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</si>
  <si>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</si>
  <si>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</si>
  <si>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</si>
  <si>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</si>
  <si>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</si>
  <si>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</si>
  <si>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</si>
  <si>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</si>
  <si>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</si>
  <si>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</si>
  <si>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</si>
  <si>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</si>
  <si>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</si>
  <si>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</si>
  <si>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</si>
  <si>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</si>
  <si>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</si>
  <si>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</si>
  <si>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</si>
  <si>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</si>
  <si>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</si>
  <si>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</si>
  <si>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</si>
  <si>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</si>
  <si>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</si>
  <si>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</si>
  <si>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</si>
  <si>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</si>
  <si>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</si>
  <si>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</si>
  <si>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</si>
  <si>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</si>
  <si>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</si>
  <si>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</si>
  <si>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</si>
  <si>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</si>
  <si>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</si>
  <si>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</si>
  <si>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</si>
  <si>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</si>
  <si>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</si>
  <si>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</si>
  <si>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</si>
  <si>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</si>
  <si>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</si>
  <si>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</si>
  <si>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</si>
  <si>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</si>
  <si>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</si>
  <si>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</si>
  <si>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</si>
  <si>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</si>
  <si>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</si>
  <si>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</si>
  <si>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</si>
  <si>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</si>
  <si>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</si>
  <si>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</si>
  <si>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</si>
  <si>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</si>
  <si>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</si>
  <si>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</si>
  <si>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</si>
  <si>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</si>
  <si>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</si>
  <si>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</si>
  <si>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</si>
  <si>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</si>
  <si>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</si>
  <si>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</si>
  <si>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</si>
  <si>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</si>
  <si>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</si>
  <si>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</si>
  <si>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</si>
  <si>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</si>
  <si>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</si>
  <si>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</si>
  <si>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</si>
  <si>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</si>
  <si>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</si>
  <si>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</si>
  <si>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</si>
  <si>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</si>
  <si>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</si>
  <si>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</si>
  <si>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</si>
  <si>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</si>
  <si>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</si>
  <si>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</si>
  <si>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</si>
  <si>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</si>
  <si>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</si>
  <si>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</si>
  <si>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</si>
  <si>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</si>
  <si>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</si>
  <si>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</si>
  <si>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</si>
  <si>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</si>
  <si>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</si>
  <si>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</si>
  <si>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</si>
  <si>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</si>
  <si>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</si>
  <si>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</si>
  <si>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</si>
  <si>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</si>
  <si>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</si>
  <si>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</si>
  <si>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</si>
  <si>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</si>
  <si>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</si>
  <si>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</si>
  <si>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</si>
  <si>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</si>
  <si>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</si>
  <si>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</si>
  <si>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</si>
  <si>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</si>
  <si>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</si>
  <si>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</si>
  <si>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</si>
  <si>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</si>
  <si>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</si>
  <si>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</si>
  <si>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</si>
  <si>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</si>
  <si>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</si>
  <si>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</si>
  <si>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</si>
  <si>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</si>
  <si>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</si>
  <si>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</si>
  <si>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</si>
  <si>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</si>
  <si>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</si>
  <si>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</si>
  <si>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</si>
  <si>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</si>
  <si>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</si>
  <si>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</si>
  <si>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</si>
  <si>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</si>
  <si>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</si>
  <si>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</si>
  <si>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</si>
  <si>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</si>
  <si>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</si>
  <si>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</si>
  <si>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</si>
  <si>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</si>
  <si>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</si>
  <si>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</si>
  <si>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</si>
  <si>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</si>
  <si>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</si>
  <si>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</si>
  <si>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</si>
  <si>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</si>
  <si>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</si>
  <si>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</si>
  <si>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</si>
  <si>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</si>
  <si>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</si>
  <si>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</si>
  <si>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</si>
  <si>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</si>
  <si>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</si>
  <si>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</si>
  <si>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</si>
  <si>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</si>
  <si>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</si>
  <si>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</si>
  <si>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</si>
  <si>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</si>
  <si>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</si>
  <si>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</si>
  <si>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</si>
  <si>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</si>
  <si>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</si>
  <si>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</si>
  <si>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</si>
  <si>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</si>
  <si>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</si>
  <si>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</si>
  <si>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</si>
  <si>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</si>
  <si>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</si>
  <si>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</si>
  <si>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</si>
  <si>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</si>
  <si>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</si>
  <si>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</si>
  <si>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</si>
  <si>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</si>
  <si>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</si>
  <si>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</si>
  <si>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</si>
  <si>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</si>
  <si>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</si>
  <si>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</si>
  <si>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</si>
  <si>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</si>
  <si>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</si>
  <si>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</si>
  <si>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</si>
  <si>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</si>
  <si>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</si>
  <si>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</si>
  <si>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</si>
  <si>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</si>
  <si>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</si>
  <si>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</si>
  <si>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</si>
  <si>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</si>
  <si>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</si>
  <si>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</si>
  <si>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</si>
  <si>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</si>
  <si>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</si>
  <si>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</si>
  <si>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</si>
  <si>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</si>
  <si>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</si>
  <si>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</si>
  <si>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</si>
  <si>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</si>
  <si>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</si>
  <si>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</si>
  <si>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</si>
  <si>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</si>
  <si>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</si>
  <si>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</si>
  <si>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</si>
  <si>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</si>
  <si>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</si>
  <si>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</si>
  <si>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</si>
  <si>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</si>
  <si>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</si>
  <si>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</si>
  <si>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</si>
  <si>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</si>
  <si>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</si>
  <si>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</si>
  <si>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</si>
  <si>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</si>
  <si>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</si>
  <si>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</si>
  <si>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</si>
  <si>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</si>
  <si>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</si>
  <si>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</si>
  <si>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</si>
  <si>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</si>
  <si>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</si>
  <si>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</si>
  <si>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</si>
  <si>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</si>
  <si>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</si>
  <si>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</si>
  <si>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</si>
  <si>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</si>
  <si>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</si>
  <si>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</si>
  <si>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</si>
  <si>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</si>
  <si>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</si>
  <si>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</si>
  <si>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</si>
  <si>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</si>
  <si>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</si>
  <si>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</si>
  <si>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</si>
  <si>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</si>
  <si>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</si>
  <si>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</si>
  <si>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</si>
  <si>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</si>
  <si>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</si>
  <si>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</si>
  <si>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</si>
  <si>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</si>
  <si>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</si>
  <si>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</si>
  <si>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</si>
  <si>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</si>
  <si>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</si>
  <si>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</si>
  <si>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</si>
  <si>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</si>
  <si>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</si>
  <si>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</si>
  <si>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</si>
  <si>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</si>
  <si>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</si>
  <si>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</si>
  <si>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</si>
  <si>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</si>
  <si>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</si>
  <si>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</si>
  <si>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</si>
  <si>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</si>
  <si>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</si>
  <si>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</si>
  <si>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</si>
  <si>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</si>
  <si>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</si>
  <si>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</si>
  <si>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</si>
  <si>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</si>
  <si>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</si>
  <si>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</si>
  <si>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</si>
  <si>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</si>
  <si>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</si>
  <si>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</si>
  <si>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</si>
  <si>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</si>
  <si>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</si>
  <si>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</si>
  <si>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</si>
  <si>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</si>
  <si>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</si>
  <si>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</si>
  <si>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</si>
  <si>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</si>
  <si>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</si>
  <si>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</si>
  <si>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</si>
  <si>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</si>
  <si>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</si>
  <si>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</si>
  <si>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</si>
  <si>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</si>
  <si>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</si>
  <si>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</si>
  <si>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</si>
  <si>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</si>
  <si>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</si>
  <si>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</si>
  <si>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</si>
  <si>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</si>
  <si>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</si>
  <si>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</si>
  <si>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</si>
  <si>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</si>
  <si>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</si>
  <si>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</si>
  <si>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</si>
  <si>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</si>
  <si>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</si>
  <si>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</si>
  <si>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</si>
  <si>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</si>
  <si>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</si>
  <si>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</si>
  <si>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</si>
  <si>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</si>
  <si>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</si>
  <si>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</si>
  <si>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</si>
  <si>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</si>
  <si>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</si>
  <si>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</si>
  <si>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</si>
  <si>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</si>
  <si>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</si>
  <si>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</si>
  <si>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</si>
  <si>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</si>
  <si>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</si>
  <si>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</si>
  <si>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</si>
  <si>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</si>
  <si>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</si>
  <si>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</si>
  <si>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</si>
  <si>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</si>
  <si>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</si>
  <si>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</si>
  <si>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</si>
  <si>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</si>
  <si>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</si>
  <si>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</si>
  <si>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</si>
  <si>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</si>
  <si>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</si>
  <si>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</si>
  <si>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</si>
  <si>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</si>
  <si>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</si>
  <si>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</si>
  <si>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</si>
  <si>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</si>
  <si>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</si>
  <si>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</si>
  <si>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</si>
  <si>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</si>
  <si>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</si>
  <si>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</si>
  <si>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</si>
  <si>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</si>
  <si>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</si>
  <si>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</si>
  <si>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</si>
  <si>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</si>
  <si>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</si>
  <si>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</si>
  <si>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</si>
  <si>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</si>
  <si>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</si>
  <si>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</si>
  <si>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</si>
  <si>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</si>
  <si>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</si>
  <si>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</si>
  <si>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</si>
  <si>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</si>
  <si>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</si>
  <si>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</si>
  <si>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</si>
  <si>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</si>
  <si>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</si>
  <si>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</si>
  <si>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</si>
  <si>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</si>
  <si>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</si>
  <si>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</si>
  <si>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</si>
  <si>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</si>
  <si>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</si>
  <si>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</si>
  <si>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</si>
  <si>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</si>
  <si>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</si>
  <si>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</si>
  <si>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</si>
  <si>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</si>
  <si>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</si>
  <si>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</si>
  <si>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</si>
  <si>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</si>
  <si>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</si>
  <si>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</si>
  <si>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</si>
  <si>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</si>
  <si>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</si>
  <si>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</si>
  <si>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</si>
  <si>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</si>
  <si>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</si>
  <si>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</si>
  <si>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</si>
  <si>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</si>
  <si>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</si>
  <si>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</si>
  <si>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</si>
  <si>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</si>
  <si>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</si>
  <si>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</si>
  <si>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</si>
  <si>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</si>
  <si>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</si>
  <si>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</si>
  <si>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</si>
  <si>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</si>
  <si>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</si>
  <si>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</si>
  <si>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</si>
  <si>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</si>
  <si>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</si>
  <si>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</si>
  <si>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</si>
  <si>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</si>
  <si>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</si>
  <si>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</si>
  <si>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</si>
  <si>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</si>
  <si>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</si>
  <si>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</si>
  <si>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</si>
  <si>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</si>
  <si>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</si>
  <si>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</si>
  <si>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</si>
  <si>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</si>
  <si>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</si>
  <si>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</si>
  <si>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</si>
  <si>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</si>
  <si>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</si>
  <si>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</si>
  <si>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</si>
  <si>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</si>
  <si>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</si>
  <si>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</si>
  <si>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</si>
  <si>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</si>
  <si>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</si>
  <si>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</si>
  <si>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</si>
  <si>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</si>
  <si>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</si>
  <si>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</si>
  <si>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</si>
  <si>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</si>
  <si>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</si>
  <si>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</si>
  <si>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</si>
  <si>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</si>
  <si>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</si>
  <si>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</si>
  <si>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</si>
  <si>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</si>
  <si>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</si>
  <si>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</si>
  <si>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</si>
  <si>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</si>
  <si>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</si>
  <si>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</si>
  <si>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</si>
  <si>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</si>
  <si>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</si>
  <si>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</si>
  <si>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</si>
  <si>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</si>
  <si>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</si>
  <si>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</si>
  <si>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</si>
  <si>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</si>
  <si>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</si>
  <si>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</si>
  <si>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</si>
  <si>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</si>
  <si>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</si>
  <si>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</si>
  <si>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</si>
  <si>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</si>
  <si>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</si>
  <si>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</si>
  <si>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</si>
  <si>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</si>
  <si>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</si>
  <si>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</si>
  <si>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</si>
  <si>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</si>
  <si>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</si>
  <si>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</si>
  <si>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</si>
  <si>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</si>
  <si>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</si>
  <si>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</si>
  <si>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</si>
  <si>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</si>
  <si>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</si>
  <si>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</si>
  <si>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</si>
  <si>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</si>
  <si>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</si>
  <si>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</si>
  <si>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</si>
  <si>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</si>
  <si>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</si>
  <si>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</si>
  <si>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</si>
  <si>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</si>
  <si>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</si>
  <si>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</si>
  <si>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</si>
  <si>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</si>
  <si>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</si>
  <si>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</si>
  <si>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</si>
  <si>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</si>
  <si>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</si>
  <si>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</si>
  <si>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</si>
  <si>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</si>
  <si>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</si>
  <si>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</si>
  <si>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</si>
  <si>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</si>
  <si>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</si>
  <si>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</si>
  <si>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</si>
  <si>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</si>
  <si>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</si>
  <si>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</si>
  <si>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</si>
  <si>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</si>
  <si>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</si>
  <si>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</si>
  <si>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</si>
  <si>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</si>
  <si>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</si>
  <si>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</si>
  <si>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</si>
  <si>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</si>
  <si>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</si>
  <si>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</si>
  <si>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</si>
  <si>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</si>
  <si>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</si>
  <si>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</si>
  <si>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</si>
  <si>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</si>
  <si>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</si>
  <si>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</si>
  <si>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</si>
  <si>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</si>
  <si>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</si>
  <si>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</si>
  <si>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</si>
  <si>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</si>
  <si>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</si>
  <si>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</si>
  <si>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</si>
  <si>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</si>
  <si>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</si>
  <si>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</si>
  <si>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</si>
  <si>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</si>
  <si>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</si>
  <si>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</si>
  <si>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</si>
  <si>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</si>
  <si>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</si>
  <si>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</si>
  <si>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</si>
  <si>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</si>
  <si>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</si>
  <si>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</si>
  <si>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</si>
  <si>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</si>
  <si>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</si>
  <si>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</si>
  <si>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</si>
  <si>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</si>
  <si>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</si>
  <si>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</si>
  <si>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</si>
  <si>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</si>
  <si>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</si>
  <si>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</si>
  <si>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</si>
  <si>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</si>
  <si>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</si>
  <si>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</si>
  <si>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</si>
  <si>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</si>
  <si>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</si>
  <si>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</si>
  <si>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</si>
  <si>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</si>
  <si>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</si>
  <si>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</si>
  <si>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</si>
  <si>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</si>
  <si>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</si>
  <si>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</si>
  <si>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</si>
  <si>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</si>
  <si>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</si>
  <si>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</si>
  <si>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</si>
  <si>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</si>
  <si>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</si>
  <si>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</si>
  <si>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</si>
  <si>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</si>
  <si>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</si>
  <si>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</si>
  <si>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</si>
  <si>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</si>
  <si>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</si>
  <si>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</si>
  <si>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</si>
  <si>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</si>
  <si>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</si>
  <si>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</si>
  <si>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</si>
  <si>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</si>
  <si>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</si>
  <si>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</si>
  <si>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</si>
  <si>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</si>
  <si>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</si>
  <si>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</si>
  <si>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</si>
  <si>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</si>
  <si>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</si>
  <si>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</si>
  <si>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</si>
  <si>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</si>
  <si>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</si>
  <si>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</si>
  <si>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</si>
  <si>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</si>
  <si>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</si>
  <si>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</si>
  <si>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</si>
  <si>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</si>
  <si>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</si>
  <si>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</si>
  <si>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</si>
  <si>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</si>
  <si>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</si>
  <si>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</si>
  <si>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</si>
  <si>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</si>
  <si>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</si>
  <si>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</si>
  <si>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</si>
  <si>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</si>
  <si>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</si>
  <si>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</si>
  <si>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</si>
  <si>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</si>
  <si>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</si>
  <si>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</si>
  <si>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</si>
  <si>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</si>
  <si>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</si>
  <si>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</si>
  <si>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</si>
  <si>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</si>
  <si>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</si>
  <si>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</si>
  <si>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</si>
  <si>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</si>
  <si>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</si>
  <si>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</si>
  <si>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</si>
  <si>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</si>
  <si>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</si>
  <si>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</si>
  <si>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</si>
  <si>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</si>
  <si>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</si>
  <si>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</si>
  <si>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</si>
  <si>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</si>
  <si>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</si>
  <si>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</si>
  <si>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</si>
  <si>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</si>
  <si>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</si>
  <si>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</si>
  <si>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</si>
  <si>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</si>
  <si>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</si>
  <si>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</si>
  <si>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</si>
  <si>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</si>
  <si>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</si>
  <si>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</si>
  <si>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</si>
  <si>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</si>
  <si>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</si>
  <si>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</si>
  <si>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</si>
  <si>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</si>
  <si>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</si>
  <si>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</si>
  <si>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</si>
  <si>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</si>
  <si>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</si>
  <si>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</si>
  <si>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</si>
  <si>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</si>
  <si>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</si>
  <si>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</si>
  <si>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</si>
  <si>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</si>
  <si>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</si>
  <si>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</si>
  <si>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</si>
  <si>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</si>
  <si>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</si>
  <si>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</si>
  <si>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</si>
  <si>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</si>
  <si>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</si>
  <si>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</si>
  <si>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</si>
  <si>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</si>
  <si>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</si>
  <si>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</si>
  <si>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</si>
  <si>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</si>
  <si>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</si>
  <si>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</si>
  <si>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</si>
  <si>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</si>
  <si>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</si>
  <si>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</si>
  <si>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</si>
  <si>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</si>
  <si>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</si>
  <si>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</si>
  <si>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</si>
  <si>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</si>
  <si>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</si>
  <si>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</si>
  <si>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</si>
  <si>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</si>
  <si>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</si>
  <si>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</si>
  <si>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</si>
  <si>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</si>
  <si>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</si>
  <si>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</si>
  <si>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</si>
  <si>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</si>
  <si>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</si>
  <si>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</si>
  <si>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</si>
  <si>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</si>
  <si>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</si>
  <si>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</si>
  <si>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</si>
  <si>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</si>
  <si>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</si>
  <si>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</si>
  <si>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</si>
  <si>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</si>
  <si>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</si>
  <si>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</si>
  <si>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</si>
  <si>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</si>
  <si>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</si>
  <si>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</si>
  <si>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</si>
  <si>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</si>
  <si>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</si>
  <si>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</si>
  <si>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</si>
  <si>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</si>
  <si>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</si>
  <si>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</si>
  <si>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</si>
  <si>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</si>
  <si>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</si>
  <si>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</si>
  <si>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</si>
  <si>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</si>
  <si>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</si>
  <si>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</si>
  <si>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</si>
  <si>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</si>
  <si>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</si>
  <si>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</si>
  <si>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</si>
  <si>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</si>
  <si>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</si>
  <si>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</si>
  <si>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</si>
  <si>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</si>
  <si>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</si>
  <si>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</si>
  <si>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</si>
  <si>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</si>
  <si>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</si>
  <si>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</si>
  <si>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</si>
  <si>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</si>
  <si>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</si>
  <si>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</si>
  <si>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</si>
  <si>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</si>
  <si>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</si>
  <si>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</si>
  <si>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</si>
  <si>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</si>
  <si>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</si>
  <si>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</si>
  <si>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</si>
  <si>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</si>
  <si>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</si>
  <si>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</si>
  <si>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</si>
  <si>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</si>
  <si>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</si>
  <si>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</si>
  <si>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</si>
  <si>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</si>
  <si>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</si>
  <si>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</si>
  <si>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</si>
  <si>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</si>
  <si>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</si>
  <si>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</si>
  <si>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</si>
  <si>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</si>
  <si>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</si>
  <si>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</si>
  <si>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</si>
  <si>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</si>
  <si>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</si>
  <si>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</si>
  <si>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</si>
  <si>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</si>
  <si>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</si>
  <si>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</si>
  <si>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</si>
  <si>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</si>
  <si>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</si>
  <si>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</si>
  <si>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</si>
  <si>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</si>
  <si>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</si>
  <si>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</si>
  <si>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</si>
  <si>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</si>
  <si>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</si>
  <si>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</si>
  <si>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</si>
  <si>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</si>
  <si>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</si>
  <si>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</si>
  <si>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</si>
  <si>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</si>
  <si>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</si>
  <si>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</si>
  <si>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</si>
  <si>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</si>
  <si>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</si>
  <si>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</si>
  <si>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</si>
  <si>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</si>
  <si>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</si>
  <si>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</si>
  <si>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</si>
  <si>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</si>
  <si>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</si>
  <si>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</si>
  <si>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</si>
  <si>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</si>
  <si>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</si>
  <si>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</si>
  <si>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</si>
  <si>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</si>
  <si>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</si>
  <si>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</si>
  <si>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</si>
  <si>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</si>
  <si>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</si>
  <si>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</si>
  <si>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</si>
  <si>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</si>
  <si>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</si>
  <si>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</si>
  <si>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</si>
  <si>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</si>
  <si>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</si>
  <si>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</si>
  <si>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</si>
  <si>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</si>
  <si>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</si>
  <si>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</si>
  <si>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</si>
  <si>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</si>
  <si>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</si>
  <si>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</si>
  <si>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</si>
  <si>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</si>
  <si>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</si>
  <si>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</si>
  <si>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</si>
  <si>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</si>
  <si>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</si>
  <si>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</si>
  <si>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</si>
  <si>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</si>
  <si>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</si>
  <si>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</si>
  <si>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</si>
  <si>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</si>
  <si>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</si>
  <si>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</si>
  <si>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</si>
  <si>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</si>
  <si>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</si>
  <si>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</si>
  <si>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</si>
  <si>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</si>
  <si>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</si>
  <si>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</si>
  <si>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</si>
  <si>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</si>
  <si>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</si>
  <si>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</si>
  <si>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</si>
  <si>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</si>
  <si>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</si>
  <si>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</si>
  <si>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</si>
  <si>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</si>
  <si>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</si>
  <si>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</si>
  <si>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</si>
  <si>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</si>
  <si>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</si>
  <si>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</si>
  <si>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</si>
  <si>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</si>
  <si>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</si>
  <si>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</si>
  <si>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</si>
  <si>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</si>
  <si>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</si>
  <si>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</si>
  <si>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</si>
  <si>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</si>
  <si>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</si>
  <si>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</si>
  <si>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</si>
  <si>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</si>
  <si>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</si>
  <si>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</si>
  <si>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</si>
  <si>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</si>
  <si>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</si>
  <si>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</si>
  <si>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</si>
  <si>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</si>
  <si>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</si>
  <si>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</si>
  <si>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</si>
  <si>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</si>
  <si>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</si>
  <si>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</si>
  <si>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</si>
  <si>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</si>
  <si>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</si>
  <si>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</si>
  <si>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</si>
  <si>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</si>
  <si>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</si>
  <si>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</si>
  <si>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</si>
  <si>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</si>
  <si>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</si>
  <si>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</si>
  <si>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</si>
  <si>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</si>
  <si>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</si>
  <si>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</si>
  <si>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</si>
  <si>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</si>
  <si>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</si>
  <si>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</si>
  <si>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</si>
  <si>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</si>
  <si>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</si>
  <si>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</si>
  <si>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</si>
  <si>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</si>
  <si>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</si>
  <si>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</si>
  <si>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</si>
  <si>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</si>
  <si>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</si>
  <si>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</si>
  <si>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</si>
  <si>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</si>
  <si>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</si>
  <si>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</si>
  <si>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</si>
  <si>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</si>
  <si>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</si>
  <si>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</si>
  <si>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</si>
  <si>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</si>
  <si>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</si>
  <si>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</si>
  <si>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</si>
  <si>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</si>
  <si>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</si>
  <si>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</si>
  <si>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</si>
  <si>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</si>
  <si>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</si>
  <si>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</si>
  <si>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</si>
  <si>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</si>
  <si>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</si>
  <si>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</si>
  <si>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</si>
  <si>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</si>
  <si>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</si>
  <si>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</si>
  <si>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</si>
  <si>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</si>
  <si>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</si>
  <si>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</si>
  <si>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</si>
  <si>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</si>
  <si>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</si>
  <si>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</si>
  <si>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</si>
  <si>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</si>
  <si>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</si>
  <si>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</si>
  <si>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</si>
  <si>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</si>
  <si>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</si>
  <si>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</si>
  <si>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</si>
  <si>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</si>
  <si>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</si>
  <si>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</si>
  <si>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</si>
  <si>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</si>
  <si>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</si>
  <si>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</si>
  <si>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</si>
  <si>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</si>
  <si>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</si>
  <si>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</si>
  <si>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</si>
  <si>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</si>
  <si>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</si>
  <si>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</si>
  <si>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</si>
  <si>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</si>
  <si>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</si>
  <si>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</si>
  <si>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</si>
  <si>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</si>
  <si>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</si>
  <si>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</si>
  <si>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</si>
  <si>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</si>
  <si>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</si>
  <si>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</si>
  <si>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</si>
  <si>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</si>
  <si>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</si>
  <si>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</si>
  <si>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</si>
  <si>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</si>
  <si>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</si>
  <si>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</si>
  <si>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</si>
  <si>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</si>
  <si>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</si>
  <si>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</si>
  <si>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</si>
  <si>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</si>
  <si>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</si>
  <si>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</si>
  <si>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</si>
  <si>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</si>
  <si>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</si>
  <si>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</si>
  <si>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</si>
  <si>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</si>
  <si>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</si>
  <si>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</si>
  <si>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</si>
  <si>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</si>
  <si>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</si>
  <si>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</si>
  <si>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</si>
  <si>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</si>
  <si>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</si>
  <si>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</si>
  <si>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</si>
  <si>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</si>
  <si>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</si>
  <si>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</si>
  <si>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</si>
  <si>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</si>
  <si>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</si>
  <si>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</si>
  <si>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</si>
  <si>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</si>
  <si>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</si>
  <si>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</si>
  <si>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</si>
  <si>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</si>
  <si>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</si>
  <si>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</si>
  <si>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</si>
  <si>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</si>
  <si>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</si>
  <si>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</si>
  <si>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</si>
  <si>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</si>
  <si>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</si>
  <si>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</si>
  <si>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</si>
  <si>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</si>
  <si>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</si>
  <si>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</si>
  <si>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</si>
  <si>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</si>
  <si>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</si>
  <si>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</si>
  <si>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</si>
  <si>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</si>
  <si>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</si>
  <si>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</si>
  <si>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</si>
  <si>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</si>
  <si>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</si>
  <si>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</si>
  <si>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</si>
  <si>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</si>
  <si>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</si>
  <si>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</si>
  <si>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</si>
  <si>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</si>
  <si>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</si>
  <si>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</si>
  <si>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</si>
  <si>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</si>
  <si>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</si>
  <si>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</si>
  <si>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</si>
  <si>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</si>
  <si>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</si>
  <si>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</si>
  <si>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</si>
  <si>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</si>
  <si>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</si>
  <si>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</si>
  <si>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</si>
  <si>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</si>
  <si>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</si>
  <si>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</si>
  <si>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</si>
  <si>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</si>
  <si>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</si>
  <si>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</si>
  <si>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</si>
  <si>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</si>
  <si>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</si>
  <si>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</si>
  <si>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</si>
  <si>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</si>
  <si>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</si>
  <si>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</si>
  <si>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</si>
  <si>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</si>
  <si>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</si>
  <si>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</si>
  <si>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</si>
  <si>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</si>
  <si>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</si>
  <si>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</si>
  <si>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</si>
  <si>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</si>
  <si>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</si>
  <si>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</si>
  <si>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</si>
  <si>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</si>
  <si>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</si>
  <si>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</si>
  <si>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</si>
  <si>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</si>
  <si>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</si>
  <si>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</si>
  <si>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</si>
  <si>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</si>
  <si>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</si>
  <si>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</si>
  <si>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</si>
  <si>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</si>
  <si>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</si>
  <si>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</si>
  <si>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</si>
  <si>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</si>
  <si>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</si>
  <si>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</si>
  <si>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</si>
  <si>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</si>
  <si>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</si>
  <si>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</si>
  <si>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</si>
  <si>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</si>
  <si>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</si>
  <si>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</si>
  <si>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</si>
  <si>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</si>
  <si>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</si>
  <si>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</si>
  <si>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</si>
  <si>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</si>
  <si>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</si>
  <si>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</si>
  <si>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</si>
  <si>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</si>
  <si>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</si>
  <si>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</si>
  <si>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</si>
  <si>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</si>
  <si>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</si>
  <si>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</si>
  <si>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</si>
  <si>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</si>
  <si>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</si>
  <si>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</si>
  <si>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</si>
  <si>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</si>
  <si>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</si>
  <si>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</si>
  <si>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</si>
  <si>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</si>
  <si>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</si>
  <si>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</si>
  <si>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</si>
  <si>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</si>
  <si>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</si>
  <si>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</si>
  <si>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</si>
  <si>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</si>
  <si>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</si>
  <si>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</si>
  <si>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</si>
  <si>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</si>
  <si>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</si>
  <si>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</si>
  <si>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</si>
  <si>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</si>
  <si>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</si>
  <si>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</si>
  <si>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</si>
  <si>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</si>
  <si>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</si>
  <si>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</si>
  <si>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</si>
  <si>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</si>
  <si>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</si>
  <si>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</si>
  <si>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</si>
  <si>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</si>
  <si>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</si>
  <si>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</si>
  <si>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</si>
  <si>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</si>
  <si>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</si>
  <si>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</si>
  <si>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</si>
  <si>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</si>
  <si>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</si>
  <si>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</si>
  <si>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</si>
  <si>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</si>
  <si>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</si>
  <si>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</si>
  <si>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</si>
  <si>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</si>
  <si>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</si>
  <si>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</si>
  <si>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</si>
  <si>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</si>
  <si>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</si>
  <si>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</si>
  <si>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</si>
  <si>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</si>
  <si>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</si>
  <si>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</si>
  <si>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</si>
  <si>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</si>
  <si>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</si>
  <si>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</si>
  <si>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</si>
  <si>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</si>
  <si>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</si>
  <si>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</si>
  <si>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</si>
  <si>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</si>
  <si>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</si>
  <si>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</si>
  <si>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</si>
  <si>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</si>
  <si>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</si>
  <si>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</si>
  <si>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</si>
  <si>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</si>
  <si>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</si>
  <si>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</si>
  <si>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</si>
  <si>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</si>
  <si>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</si>
  <si>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</si>
  <si>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</si>
  <si>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</si>
  <si>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</si>
  <si>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</si>
  <si>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</si>
  <si>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</si>
  <si>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</si>
  <si>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</si>
  <si>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</si>
  <si>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</si>
  <si>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</si>
  <si>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</si>
  <si>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</si>
  <si>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</si>
  <si>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</si>
  <si>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</si>
  <si>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</si>
  <si>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</si>
  <si>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</si>
  <si>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</si>
  <si>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</si>
  <si>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</si>
  <si>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</si>
  <si>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</si>
  <si>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</si>
  <si>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</si>
  <si>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</si>
  <si>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</si>
  <si>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</si>
  <si>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</si>
  <si>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</si>
  <si>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</si>
  <si>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</si>
  <si>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</si>
  <si>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</si>
  <si>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</si>
  <si>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</si>
  <si>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</si>
  <si>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</si>
  <si>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</si>
  <si>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</si>
  <si>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</si>
  <si>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</si>
  <si>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</si>
  <si>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</si>
  <si>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</si>
  <si>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</si>
  <si>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</si>
  <si>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</si>
  <si>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</si>
  <si>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</si>
  <si>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</si>
  <si>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</si>
  <si>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</si>
  <si>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</si>
  <si>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</si>
  <si>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</si>
  <si>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</si>
  <si>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</si>
  <si>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</si>
  <si>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</si>
  <si>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</si>
  <si>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</si>
  <si>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</si>
  <si>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</si>
  <si>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</si>
  <si>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</si>
  <si>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</si>
  <si>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</si>
  <si>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</si>
  <si>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</si>
  <si>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</si>
  <si>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</si>
  <si>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</si>
  <si>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</si>
  <si>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</si>
  <si>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</si>
  <si>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</si>
  <si>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</si>
  <si>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</si>
  <si>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</si>
  <si>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</si>
  <si>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</si>
  <si>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</si>
  <si>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</si>
  <si>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</si>
  <si>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</si>
  <si>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</si>
  <si>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</si>
  <si>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</si>
  <si>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</si>
  <si>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</si>
  <si>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</si>
  <si>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</si>
  <si>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</si>
  <si>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</si>
  <si>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</si>
  <si>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</si>
  <si>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</si>
  <si>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</si>
  <si>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</si>
  <si>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</si>
  <si>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</si>
  <si>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</si>
  <si>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</si>
  <si>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</si>
  <si>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</si>
  <si>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</si>
  <si>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</si>
  <si>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</si>
  <si>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</si>
  <si>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</si>
  <si>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</si>
  <si>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</si>
  <si>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</si>
  <si>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</si>
  <si>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</si>
  <si>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</si>
  <si>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</si>
  <si>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</si>
  <si>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</si>
  <si>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</si>
  <si>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</si>
  <si>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</si>
  <si>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</si>
  <si>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</si>
  <si>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</si>
  <si>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</si>
  <si>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</si>
  <si>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</si>
  <si>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</si>
  <si>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</si>
  <si>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</si>
  <si>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</si>
  <si>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</si>
  <si>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</si>
  <si>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</si>
  <si>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</si>
  <si>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</si>
  <si>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</si>
  <si>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</si>
  <si>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</si>
  <si>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</si>
  <si>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</si>
  <si>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</si>
  <si>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</si>
  <si>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</si>
  <si>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</si>
  <si>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</si>
  <si>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</si>
  <si>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</si>
  <si>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</si>
  <si>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</si>
  <si>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</si>
  <si>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</si>
  <si>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</si>
  <si>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</si>
  <si>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</si>
  <si>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</si>
  <si>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</si>
  <si>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</si>
  <si>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</si>
  <si>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</si>
  <si>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</si>
  <si>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</si>
  <si>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</si>
  <si>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</si>
  <si>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</si>
  <si>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</si>
  <si>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</si>
  <si>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</si>
  <si>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</si>
  <si>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</si>
  <si>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</si>
  <si>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</si>
  <si>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</si>
  <si>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</si>
  <si>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</si>
  <si>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</si>
  <si>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</si>
  <si>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</si>
  <si>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</si>
  <si>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</si>
  <si>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</si>
  <si>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</si>
  <si>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</si>
  <si>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</si>
  <si>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</si>
  <si>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</si>
  <si>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</si>
  <si>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</si>
  <si>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</si>
  <si>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</si>
  <si>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</si>
  <si>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</si>
  <si>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</si>
  <si>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</si>
  <si>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</si>
  <si>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</si>
  <si>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</si>
  <si>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</si>
  <si>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</si>
  <si>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</si>
  <si>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</si>
  <si>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</si>
  <si>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</si>
  <si>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</si>
  <si>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</si>
  <si>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</si>
  <si>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</si>
  <si>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</si>
  <si>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</si>
  <si>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</si>
  <si>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</si>
  <si>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</si>
  <si>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</si>
  <si>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</si>
  <si>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</si>
  <si>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</si>
  <si>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</si>
  <si>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</si>
  <si>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</si>
  <si>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</si>
  <si>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</si>
  <si>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</si>
  <si>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</si>
  <si>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</si>
  <si>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</si>
  <si>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</si>
  <si>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</si>
  <si>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</si>
  <si>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</si>
  <si>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</si>
  <si>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</si>
  <si>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</si>
  <si>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</si>
  <si>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</si>
  <si>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</si>
  <si>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</si>
  <si>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</si>
  <si>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</si>
  <si>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</si>
  <si>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</si>
  <si>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</si>
  <si>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</si>
  <si>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</si>
  <si>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</si>
  <si>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</si>
  <si>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</si>
  <si>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</si>
  <si>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</si>
  <si>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</si>
  <si>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</si>
  <si>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</si>
  <si>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</si>
  <si>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</si>
  <si>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</si>
  <si>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</si>
  <si>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</si>
  <si>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</si>
  <si>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</si>
  <si>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</si>
  <si>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</si>
  <si>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</si>
  <si>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</si>
  <si>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</si>
  <si>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</si>
  <si>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</si>
  <si>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</si>
  <si>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</si>
  <si>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</si>
  <si>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</si>
  <si>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</si>
  <si>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</si>
  <si>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</si>
  <si>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</si>
  <si>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</si>
  <si>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</si>
  <si>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</si>
  <si>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</si>
  <si>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</si>
  <si>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</si>
  <si>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</si>
  <si>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</si>
  <si>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</si>
  <si>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</si>
  <si>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</si>
  <si>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</si>
  <si>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</si>
  <si>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</si>
  <si>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</si>
  <si>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</si>
  <si>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</si>
  <si>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</si>
  <si>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</si>
  <si>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</si>
  <si>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</si>
  <si>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</si>
  <si>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</si>
  <si>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</si>
  <si>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</si>
  <si>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</si>
  <si>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</si>
  <si>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</si>
  <si>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</si>
  <si>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</si>
  <si>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</si>
  <si>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</si>
  <si>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</si>
  <si>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</si>
  <si>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</si>
  <si>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</si>
  <si>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</si>
  <si>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</si>
  <si>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</si>
  <si>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</si>
  <si>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</si>
  <si>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</si>
  <si>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</si>
  <si>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</si>
  <si>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</si>
  <si>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</si>
  <si>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</si>
  <si>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</si>
  <si>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</si>
  <si>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</si>
  <si>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</si>
  <si>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</si>
  <si>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</si>
  <si>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</si>
  <si>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</si>
  <si>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</si>
  <si>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</si>
  <si>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</si>
  <si>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</si>
  <si>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</si>
  <si>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</si>
  <si>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</si>
  <si>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</si>
  <si>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</si>
  <si>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</si>
  <si>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</si>
  <si>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</si>
  <si>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</si>
  <si>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</si>
  <si>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</si>
  <si>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</si>
  <si>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</si>
  <si>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</si>
  <si>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</si>
  <si>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</si>
  <si>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</si>
  <si>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</si>
  <si>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</si>
  <si>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</si>
  <si>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</si>
  <si>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</si>
  <si>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</si>
  <si>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</si>
  <si>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</si>
  <si>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</si>
  <si>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</si>
  <si>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</si>
  <si>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</si>
  <si>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</si>
  <si>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</si>
  <si>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</si>
  <si>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</si>
  <si>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</si>
  <si>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</si>
  <si>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</si>
  <si>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</si>
  <si>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</si>
  <si>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</si>
  <si>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</si>
  <si>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</si>
  <si>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</si>
  <si>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</si>
  <si>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</si>
  <si>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</si>
  <si>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</si>
  <si>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</si>
  <si>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</si>
  <si>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</si>
  <si>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</si>
  <si>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</si>
  <si>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</si>
  <si>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</si>
  <si>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</si>
  <si>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</si>
  <si>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</si>
  <si>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</si>
  <si>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</si>
  <si>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</si>
  <si>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</si>
  <si>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</si>
  <si>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</si>
  <si>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</si>
  <si>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</si>
  <si>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</si>
  <si>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</si>
  <si>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</si>
  <si>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</si>
  <si>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</si>
  <si>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</si>
  <si>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</si>
  <si>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</si>
  <si>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</si>
  <si>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</si>
  <si>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</si>
  <si>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</si>
  <si>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</si>
  <si>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</si>
  <si>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</si>
  <si>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</si>
  <si>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</si>
  <si>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</si>
  <si>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</si>
  <si>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</si>
  <si>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</si>
  <si>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</si>
  <si>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</si>
  <si>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</si>
  <si>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</si>
  <si>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</si>
  <si>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</si>
  <si>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</si>
  <si>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</si>
  <si>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</si>
  <si>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</si>
  <si>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</si>
  <si>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</si>
  <si>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</si>
  <si>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</si>
  <si>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</si>
  <si>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</si>
  <si>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</si>
  <si>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</si>
  <si>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</si>
  <si>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</si>
  <si>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</si>
  <si>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</si>
  <si>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</si>
  <si>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</si>
  <si>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</si>
  <si>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</si>
  <si>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</si>
  <si>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</si>
  <si>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</si>
  <si>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</si>
  <si>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</si>
  <si>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</si>
  <si>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</si>
  <si>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</si>
  <si>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</si>
  <si>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</si>
  <si>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</si>
  <si>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</si>
  <si>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</si>
  <si>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</si>
  <si>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</si>
  <si>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</si>
  <si>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</si>
  <si>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</si>
  <si>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</si>
  <si>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</si>
  <si>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</si>
  <si>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</si>
  <si>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</si>
  <si>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</si>
  <si>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</si>
  <si>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</si>
  <si>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</si>
  <si>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</si>
  <si>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</si>
  <si>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</si>
  <si>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</si>
  <si>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</si>
  <si>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</si>
  <si>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</si>
  <si>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</si>
  <si>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</si>
  <si>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</si>
  <si>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</si>
  <si>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</si>
  <si>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</si>
  <si>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</si>
  <si>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</si>
  <si>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</si>
  <si>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</si>
  <si>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</si>
  <si>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</si>
  <si>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</si>
  <si>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</si>
  <si>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</si>
  <si>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</si>
  <si>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</si>
  <si>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</si>
  <si>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</si>
  <si>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</si>
  <si>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</si>
  <si>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</si>
  <si>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</si>
  <si>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</si>
  <si>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</si>
  <si>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</si>
  <si>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</si>
  <si>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</si>
  <si>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</si>
  <si>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</si>
  <si>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</si>
  <si>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</si>
  <si>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</si>
  <si>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</si>
  <si>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</si>
  <si>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</si>
  <si>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</si>
  <si>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</si>
  <si>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</si>
  <si>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</si>
  <si>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</si>
  <si>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</si>
  <si>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</si>
  <si>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</si>
  <si>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</si>
  <si>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</si>
  <si>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</si>
  <si>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</si>
  <si>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</si>
  <si>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</si>
  <si>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</si>
  <si>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</si>
  <si>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</si>
  <si>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</si>
  <si>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</si>
  <si>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</si>
  <si>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</si>
  <si>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</si>
  <si>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</si>
  <si>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</si>
  <si>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</si>
  <si>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</si>
  <si>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</si>
  <si>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</si>
  <si>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</si>
  <si>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</si>
  <si>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</si>
  <si>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</si>
  <si>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</si>
  <si>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</si>
  <si>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</si>
  <si>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</si>
  <si>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</si>
  <si>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</si>
  <si>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</si>
  <si>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</si>
  <si>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</si>
  <si>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</si>
  <si>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</si>
  <si>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</si>
  <si>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</si>
  <si>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</si>
  <si>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</si>
  <si>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</si>
  <si>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</si>
  <si>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</si>
  <si>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</si>
  <si>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</si>
  <si>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</si>
  <si>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</si>
  <si>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</si>
  <si>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</si>
  <si>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</si>
  <si>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</si>
  <si>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</si>
  <si>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</si>
  <si>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</si>
  <si>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</si>
  <si>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</si>
  <si>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</si>
  <si>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</si>
  <si>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</si>
  <si>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</si>
  <si>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</si>
  <si>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</si>
  <si>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</si>
  <si>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</si>
  <si>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</si>
  <si>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</si>
  <si>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</si>
  <si>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</si>
  <si>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</si>
  <si>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</si>
  <si>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</si>
  <si>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</si>
  <si>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</si>
  <si>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</si>
  <si>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</si>
  <si>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</si>
  <si>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</si>
  <si>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</si>
  <si>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</si>
  <si>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</si>
  <si>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</si>
  <si>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</si>
  <si>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</si>
  <si>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</si>
  <si>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</si>
  <si>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</si>
  <si>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</si>
  <si>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</si>
  <si>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</si>
  <si>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</si>
  <si>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</si>
  <si>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</si>
  <si>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</si>
  <si>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</si>
  <si>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</si>
  <si>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</si>
  <si>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</si>
  <si>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</si>
  <si>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</si>
  <si>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</si>
  <si>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</si>
  <si>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</si>
  <si>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</si>
  <si>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</si>
  <si>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</si>
  <si>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</si>
  <si>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</si>
  <si>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</si>
  <si>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</si>
  <si>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</si>
  <si>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</si>
  <si>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</si>
  <si>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</si>
  <si>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</si>
  <si>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</si>
  <si>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</si>
  <si>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</si>
  <si>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</si>
  <si>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</si>
  <si>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</si>
  <si>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</si>
  <si>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</si>
  <si>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</si>
  <si>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</si>
  <si>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</si>
  <si>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</si>
  <si>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</si>
  <si>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</si>
  <si>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</si>
  <si>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</si>
  <si>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</si>
  <si>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</si>
  <si>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</si>
  <si>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</si>
  <si>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</si>
  <si>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</si>
  <si>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</si>
  <si>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</si>
  <si>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</si>
  <si>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</si>
  <si>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</si>
  <si>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</si>
  <si>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</si>
  <si>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</si>
  <si>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</si>
  <si>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</si>
  <si>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</si>
  <si>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</si>
  <si>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</si>
  <si>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</si>
  <si>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</si>
  <si>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</si>
  <si>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</si>
  <si>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</si>
  <si>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</si>
  <si>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</si>
  <si>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</si>
  <si>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</si>
  <si>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</si>
  <si>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</si>
  <si>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</si>
  <si>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</si>
  <si>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</si>
  <si>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</si>
  <si>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</si>
  <si>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</si>
  <si>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</si>
  <si>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</si>
  <si>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</si>
  <si>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</si>
  <si>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</si>
  <si>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</si>
  <si>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</si>
  <si>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</si>
  <si>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</si>
  <si>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</si>
  <si>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</si>
  <si>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</si>
  <si>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</si>
  <si>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</si>
  <si>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</si>
  <si>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</si>
  <si>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</si>
  <si>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</si>
  <si>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</si>
  <si>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</si>
  <si>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</si>
  <si>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</si>
  <si>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</si>
  <si>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</si>
  <si>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</si>
  <si>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</si>
  <si>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</si>
  <si>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</si>
  <si>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</si>
  <si>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</si>
  <si>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</si>
  <si>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</si>
  <si>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</si>
  <si>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</si>
  <si>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</si>
  <si>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</si>
  <si>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</si>
  <si>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</si>
  <si>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</si>
  <si>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</si>
  <si>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</si>
  <si>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</si>
  <si>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</si>
  <si>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</si>
  <si>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</si>
  <si>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</si>
  <si>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</si>
  <si>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</si>
  <si>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</si>
  <si>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</si>
  <si>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</si>
  <si>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</si>
  <si>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</si>
  <si>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</si>
  <si>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</si>
  <si>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</si>
  <si>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</si>
  <si>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</si>
  <si>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</si>
  <si>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</si>
  <si>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</si>
  <si>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</si>
  <si>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</si>
  <si>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</si>
  <si>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</si>
  <si>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</si>
  <si>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</si>
  <si>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</si>
  <si>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</si>
  <si>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</si>
  <si>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</si>
  <si>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</si>
  <si>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</si>
  <si>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</si>
  <si>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</si>
  <si>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</si>
  <si>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</si>
  <si>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</si>
  <si>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</si>
  <si>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</si>
  <si>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</si>
  <si>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</si>
  <si>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</si>
  <si>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</si>
  <si>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</si>
  <si>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</si>
  <si>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</si>
  <si>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</si>
  <si>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</si>
  <si>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</si>
  <si>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</si>
  <si>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</si>
  <si>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</si>
  <si>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</si>
  <si>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</si>
  <si>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</si>
  <si>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</si>
  <si>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</si>
  <si>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</si>
  <si>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</si>
  <si>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</si>
  <si>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</si>
  <si>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</si>
  <si>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</si>
  <si>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</si>
  <si>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</si>
  <si>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</si>
  <si>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</si>
  <si>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</si>
  <si>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</si>
  <si>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</si>
  <si>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</si>
  <si>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</si>
  <si>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</si>
  <si>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</si>
  <si>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</si>
  <si>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</si>
  <si>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</si>
  <si>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</si>
  <si>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</si>
  <si>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</si>
  <si>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</si>
  <si>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</si>
  <si>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</si>
  <si>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</si>
  <si>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</si>
  <si>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</si>
  <si>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</si>
  <si>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</si>
  <si>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</si>
  <si>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</si>
  <si>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</si>
  <si>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</si>
  <si>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</si>
  <si>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</si>
  <si>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</si>
  <si>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</si>
  <si>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</si>
  <si>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</si>
  <si>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</si>
  <si>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</si>
  <si>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</si>
  <si>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</si>
  <si>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</si>
  <si>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</si>
  <si>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</si>
  <si>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</si>
  <si>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</si>
  <si>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</si>
  <si>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</si>
  <si>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</si>
  <si>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</si>
  <si>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</si>
  <si>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</si>
  <si>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</si>
  <si>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</si>
  <si>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</si>
  <si>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</si>
  <si>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</si>
  <si>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</si>
  <si>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</si>
  <si>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</si>
  <si>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</si>
  <si>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</si>
  <si>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</si>
  <si>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</si>
  <si>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</si>
  <si>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</si>
  <si>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</si>
  <si>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</si>
  <si>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</si>
  <si>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</si>
  <si>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</si>
  <si>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</si>
  <si>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</si>
  <si>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</si>
  <si>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</si>
  <si>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</si>
  <si>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</si>
  <si>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</si>
  <si>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</si>
  <si>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</si>
  <si>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</si>
  <si>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</si>
  <si>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</si>
  <si>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</si>
  <si>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</si>
  <si>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</si>
  <si>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</si>
  <si>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</si>
  <si>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</si>
  <si>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</si>
  <si>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</si>
  <si>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</si>
  <si>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</si>
  <si>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</si>
  <si>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</si>
  <si>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</si>
  <si>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</si>
  <si>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</si>
  <si>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</si>
  <si>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</si>
  <si>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</si>
  <si>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</si>
  <si>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</si>
  <si>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</si>
  <si>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</si>
  <si>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</si>
  <si>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</si>
  <si>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</si>
  <si>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</si>
  <si>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</si>
  <si>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</si>
  <si>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</si>
  <si>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</si>
  <si>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</si>
  <si>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</si>
  <si>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</si>
  <si>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</si>
  <si>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</si>
  <si>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</si>
  <si>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</si>
  <si>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</si>
  <si>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</si>
  <si>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</si>
  <si>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</si>
  <si>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</si>
  <si>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</si>
  <si>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</si>
  <si>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</si>
  <si>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</si>
  <si>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</si>
  <si>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</si>
  <si>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</si>
  <si>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</si>
  <si>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</si>
  <si>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</si>
  <si>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</si>
  <si>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</si>
  <si>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</si>
  <si>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</si>
  <si>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</si>
  <si>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</si>
  <si>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</si>
  <si>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</si>
  <si>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</si>
  <si>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</si>
  <si>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</si>
  <si>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</si>
  <si>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</si>
  <si>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</si>
  <si>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</si>
  <si>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</si>
  <si>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</si>
  <si>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</si>
  <si>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</si>
  <si>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</si>
  <si>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</si>
  <si>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</si>
  <si>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</si>
  <si>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</si>
  <si>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</si>
  <si>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</si>
  <si>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</si>
  <si>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</si>
  <si>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</si>
  <si>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</si>
  <si>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</si>
  <si>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</si>
  <si>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</si>
  <si>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</si>
  <si>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</si>
  <si>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</si>
  <si>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</si>
  <si>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</si>
  <si>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</si>
  <si>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</si>
  <si>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</si>
  <si>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</si>
  <si>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</si>
  <si>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</si>
  <si>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</si>
  <si>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</si>
  <si>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</si>
  <si>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</si>
  <si>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</si>
  <si>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</si>
  <si>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</si>
  <si>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</si>
  <si>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</si>
  <si>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</si>
  <si>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</si>
  <si>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</si>
  <si>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</si>
  <si>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</si>
  <si>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</si>
  <si>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</si>
  <si>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</si>
  <si>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</si>
  <si>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</si>
  <si>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</si>
  <si>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</si>
  <si>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</si>
  <si>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</si>
  <si>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</si>
  <si>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</si>
  <si>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</si>
  <si>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</si>
  <si>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</si>
  <si>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</si>
  <si>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</si>
  <si>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</si>
  <si>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</si>
  <si>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</si>
  <si>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</si>
  <si>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</si>
  <si>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</si>
  <si>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</si>
  <si>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</si>
  <si>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</si>
  <si>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</si>
  <si>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</si>
  <si>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</si>
  <si>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</si>
  <si>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</si>
  <si>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</si>
  <si>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</si>
  <si>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</si>
  <si>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</si>
  <si>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</si>
  <si>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</si>
  <si>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</si>
  <si>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</si>
  <si>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</si>
  <si>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</si>
  <si>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</si>
  <si>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</si>
  <si>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</si>
  <si>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</si>
  <si>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</si>
  <si>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</si>
  <si>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</si>
  <si>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</si>
  <si>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</si>
  <si>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</si>
  <si>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</si>
  <si>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</si>
  <si>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</si>
  <si>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</si>
  <si>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</si>
  <si>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</si>
  <si>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</si>
  <si>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</si>
  <si>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</si>
  <si>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</si>
  <si>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</si>
  <si>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</si>
  <si>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</si>
  <si>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</si>
  <si>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</si>
  <si>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</si>
  <si>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</si>
  <si>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</si>
  <si>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</si>
  <si>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</si>
  <si>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</si>
  <si>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</si>
  <si>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</si>
  <si>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</si>
  <si>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</si>
  <si>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</si>
  <si>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</si>
  <si>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</si>
  <si>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</si>
  <si>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</si>
  <si>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</si>
  <si>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</si>
  <si>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</si>
  <si>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</si>
  <si>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</si>
  <si>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</si>
  <si>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</si>
  <si>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</si>
  <si>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</si>
  <si>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</si>
  <si>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</si>
  <si>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</si>
  <si>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</si>
  <si>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</si>
  <si>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</si>
  <si>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</si>
  <si>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</si>
  <si>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</si>
  <si>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</si>
  <si>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</si>
  <si>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</si>
  <si>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</si>
  <si>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</si>
  <si>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</si>
  <si>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</si>
  <si>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</si>
  <si>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</si>
  <si>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</si>
  <si>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</si>
  <si>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</si>
  <si>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</si>
  <si>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</si>
  <si>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</si>
  <si>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</si>
  <si>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</si>
  <si>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</si>
  <si>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</si>
  <si>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</si>
  <si>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</si>
  <si>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</si>
  <si>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</si>
  <si>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</si>
  <si>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</si>
  <si>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</si>
  <si>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</si>
  <si>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</si>
  <si>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</si>
  <si>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</si>
  <si>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</si>
  <si>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</si>
  <si>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</si>
  <si>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</si>
  <si>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</si>
  <si>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</si>
  <si>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</si>
  <si>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</si>
  <si>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</si>
  <si>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</si>
  <si>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</si>
  <si>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</si>
  <si>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</si>
  <si>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</si>
  <si>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</si>
  <si>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</si>
  <si>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</si>
  <si>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</si>
  <si>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</si>
  <si>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</si>
  <si>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</si>
  <si>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</si>
  <si>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</si>
  <si>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</si>
  <si>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</si>
  <si>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</si>
  <si>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</si>
  <si>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</si>
  <si>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</si>
  <si>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</si>
  <si>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</si>
  <si>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</si>
  <si>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</si>
  <si>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</si>
  <si>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</si>
  <si>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</si>
  <si>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</si>
  <si>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</si>
  <si>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</si>
  <si>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</si>
  <si>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</si>
  <si>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</si>
  <si>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</si>
  <si>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</si>
  <si>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</si>
  <si>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</si>
  <si>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</si>
  <si>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</si>
  <si>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</si>
  <si>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</si>
  <si>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</si>
  <si>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</si>
  <si>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</si>
  <si>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</si>
  <si>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</si>
  <si>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</si>
  <si>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</si>
  <si>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</si>
  <si>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</si>
  <si>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</si>
  <si>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</si>
  <si>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</si>
  <si>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</si>
  <si>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</si>
  <si>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</si>
  <si>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</si>
  <si>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</si>
  <si>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</si>
  <si>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</si>
  <si>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</si>
  <si>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</si>
  <si>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</si>
  <si>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</si>
  <si>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</si>
  <si>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</si>
  <si>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</si>
  <si>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</si>
  <si>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</si>
  <si>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</si>
  <si>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</si>
  <si>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</si>
  <si>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</si>
  <si>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</si>
  <si>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</si>
  <si>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</si>
  <si>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</si>
  <si>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</si>
  <si>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</si>
  <si>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</si>
  <si>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</si>
  <si>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</si>
  <si>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</si>
  <si>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</si>
  <si>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</si>
  <si>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</si>
  <si>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</si>
  <si>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</si>
  <si>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</si>
  <si>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</si>
  <si>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</si>
  <si>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</si>
  <si>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</si>
  <si>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</si>
  <si>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</si>
  <si>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</si>
  <si>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</si>
  <si>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</si>
  <si>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</si>
  <si>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</si>
  <si>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</si>
  <si>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</si>
  <si>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</si>
  <si>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</si>
  <si>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</si>
  <si>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</si>
  <si>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</si>
  <si>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</si>
  <si>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</si>
  <si>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</si>
  <si>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</si>
  <si>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</si>
  <si>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</si>
  <si>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</si>
  <si>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</si>
  <si>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</si>
  <si>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</si>
  <si>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</si>
  <si>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</si>
  <si>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</si>
  <si>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</si>
  <si>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</si>
  <si>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</si>
  <si>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</si>
  <si>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</si>
  <si>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</si>
  <si>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</si>
  <si>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</si>
  <si>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</si>
  <si>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</si>
  <si>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</si>
  <si>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</si>
  <si>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</si>
  <si>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</si>
  <si>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</si>
  <si>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</si>
  <si>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</si>
  <si>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</si>
  <si>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</si>
  <si>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</si>
  <si>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</si>
  <si>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</si>
  <si>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</si>
  <si>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</si>
  <si>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</si>
  <si>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</si>
  <si>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</si>
  <si>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</si>
  <si>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</si>
  <si>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</si>
  <si>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</si>
  <si>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</si>
  <si>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</si>
  <si>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</si>
  <si>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</si>
  <si>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</si>
  <si>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</si>
  <si>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</si>
  <si>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</si>
  <si>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</si>
  <si>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</si>
  <si>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</si>
  <si>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</si>
  <si>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</si>
  <si>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</si>
  <si>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</si>
  <si>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</si>
  <si>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</si>
  <si>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</si>
  <si>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</si>
  <si>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</si>
  <si>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</si>
  <si>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</si>
  <si>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</si>
  <si>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</si>
  <si>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</si>
  <si>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</si>
  <si>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</si>
  <si>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</si>
  <si>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</si>
  <si>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</si>
  <si>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</si>
  <si>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</si>
  <si>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</si>
  <si>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</si>
  <si>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</si>
  <si>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</si>
  <si>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</si>
  <si>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</si>
  <si>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</si>
  <si>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</si>
  <si>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</si>
  <si>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</si>
  <si>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</si>
  <si>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</si>
  <si>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</si>
  <si>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</si>
  <si>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</si>
  <si>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</si>
  <si>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</si>
  <si>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</si>
  <si>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</si>
  <si>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</si>
  <si>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</si>
  <si>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</si>
  <si>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</si>
  <si>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</si>
  <si>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</si>
  <si>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</si>
  <si>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</si>
  <si>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</si>
  <si>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</si>
  <si>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</si>
  <si>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</si>
  <si>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</si>
  <si>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</si>
  <si>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</si>
  <si>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</si>
  <si>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</si>
  <si>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</si>
  <si>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</si>
  <si>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</si>
  <si>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</si>
  <si>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</si>
  <si>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</si>
  <si>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</si>
  <si>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</si>
  <si>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</si>
  <si>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</si>
  <si>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</si>
  <si>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</si>
  <si>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</si>
  <si>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</si>
  <si>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</si>
  <si>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</si>
  <si>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</si>
  <si>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</si>
  <si>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</si>
  <si>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</si>
  <si>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</si>
  <si>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</si>
  <si>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</si>
  <si>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</si>
  <si>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</si>
  <si>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</si>
  <si>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</si>
  <si>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</si>
  <si>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</si>
  <si>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</si>
  <si>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</si>
  <si>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</si>
  <si>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</si>
  <si>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</si>
  <si>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</si>
  <si>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</si>
  <si>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</si>
  <si>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</si>
  <si>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</si>
  <si>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</si>
  <si>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</si>
  <si>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</si>
  <si>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</si>
  <si>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</si>
  <si>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</si>
  <si>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</si>
  <si>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</si>
  <si>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</si>
  <si>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</si>
  <si>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</si>
  <si>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</si>
  <si>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</si>
  <si>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</si>
  <si>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</si>
  <si>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</si>
  <si>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</si>
  <si>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</si>
  <si>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</si>
  <si>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</si>
  <si>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</si>
  <si>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</si>
  <si>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</si>
  <si>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</si>
  <si>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</si>
  <si>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</si>
  <si>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</si>
  <si>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</si>
  <si>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</si>
  <si>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</si>
  <si>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</si>
  <si>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</si>
  <si>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</si>
  <si>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</si>
  <si>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</si>
  <si>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</si>
  <si>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</si>
  <si>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</si>
  <si>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</si>
  <si>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</si>
  <si>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</si>
  <si>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</si>
  <si>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</si>
  <si>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</si>
  <si>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</si>
  <si>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</si>
  <si>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</si>
  <si>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</si>
  <si>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</si>
  <si>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</si>
  <si>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</si>
  <si>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</si>
  <si>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</si>
  <si>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</si>
  <si>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</si>
  <si>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</si>
  <si>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</si>
  <si>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</si>
  <si>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</si>
  <si>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</si>
  <si>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</si>
  <si>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</si>
  <si>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</si>
  <si>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</si>
  <si>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</si>
  <si>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</si>
  <si>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</si>
  <si>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</si>
  <si>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</si>
  <si>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</si>
  <si>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</si>
  <si>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</si>
  <si>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</si>
  <si>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</si>
  <si>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</si>
  <si>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</si>
  <si>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</si>
  <si>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</si>
  <si>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</si>
  <si>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</si>
  <si>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</si>
  <si>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</si>
  <si>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</si>
  <si>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</si>
  <si>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</si>
  <si>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</si>
  <si>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</si>
  <si>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</si>
  <si>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</si>
  <si>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</si>
  <si>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</si>
  <si>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</si>
  <si>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</si>
  <si>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</si>
  <si>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</si>
  <si>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</si>
  <si>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</si>
  <si>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</si>
  <si>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</si>
  <si>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</si>
  <si>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</si>
  <si>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</si>
  <si>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</si>
  <si>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</si>
  <si>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</si>
  <si>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</si>
  <si>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</si>
  <si>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</si>
  <si>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</si>
  <si>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</si>
  <si>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</si>
  <si>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</si>
  <si>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</si>
  <si>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</si>
  <si>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</si>
  <si>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</si>
  <si>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</si>
  <si>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</si>
  <si>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</si>
  <si>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</si>
  <si>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</si>
  <si>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</si>
  <si>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</si>
  <si>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</si>
  <si>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</si>
  <si>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</si>
  <si>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</si>
  <si>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</si>
  <si>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</si>
  <si>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</si>
  <si>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</si>
  <si>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</si>
  <si>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</si>
  <si>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</si>
  <si>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</si>
  <si>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</si>
  <si>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</si>
  <si>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</si>
  <si>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</si>
  <si>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</si>
  <si>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</si>
  <si>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</si>
  <si>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</si>
  <si>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</si>
  <si>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</si>
  <si>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</si>
  <si>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</si>
  <si>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</si>
  <si>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</si>
  <si>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</si>
  <si>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</si>
  <si>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</si>
  <si>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</si>
  <si>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</si>
  <si>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</si>
  <si>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</si>
  <si>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</si>
  <si>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</si>
  <si>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</si>
  <si>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</si>
  <si>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</si>
  <si>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</si>
  <si>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</si>
  <si>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</si>
  <si>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</si>
  <si>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</si>
  <si>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</si>
  <si>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</si>
  <si>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</si>
  <si>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</si>
  <si>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</si>
  <si>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</si>
  <si>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</si>
  <si>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</si>
  <si>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</si>
  <si>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</si>
  <si>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</si>
  <si>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</si>
  <si>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</si>
  <si>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</si>
  <si>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</si>
  <si>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</si>
  <si>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</si>
  <si>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</si>
  <si>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</si>
  <si>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</si>
  <si>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</si>
  <si>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</si>
  <si>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</si>
  <si>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</si>
  <si>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</si>
  <si>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</si>
  <si>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</si>
  <si>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</si>
  <si>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</si>
  <si>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</si>
  <si>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</si>
  <si>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</si>
  <si>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</si>
  <si>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</si>
  <si>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</si>
  <si>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</si>
  <si>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</si>
  <si>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</si>
  <si>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</si>
  <si>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</si>
  <si>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</si>
  <si>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</si>
  <si>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</si>
  <si>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</si>
  <si>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</si>
  <si>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</si>
  <si>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</si>
  <si>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</si>
  <si>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</si>
  <si>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</si>
  <si>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</si>
  <si>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</si>
  <si>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</si>
  <si>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</si>
  <si>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</si>
  <si>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</si>
  <si>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</si>
  <si>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</si>
  <si>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</si>
  <si>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</si>
  <si>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</si>
  <si>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</si>
  <si>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</si>
  <si>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</si>
  <si>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</si>
  <si>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</si>
  <si>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</si>
  <si>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</si>
  <si>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</si>
  <si>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</si>
  <si>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</si>
  <si>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</si>
  <si>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</si>
  <si>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</si>
  <si>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</si>
  <si>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</si>
  <si>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</si>
  <si>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</si>
  <si>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</si>
  <si>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</si>
  <si>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</si>
  <si>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</si>
  <si>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</si>
  <si>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</si>
  <si>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</si>
  <si>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</si>
  <si>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</si>
  <si>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</si>
  <si>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</si>
  <si>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</si>
  <si>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</si>
  <si>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</si>
  <si>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</si>
  <si>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</si>
  <si>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</si>
  <si>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</si>
  <si>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</si>
  <si>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</si>
  <si>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</si>
  <si>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</si>
  <si>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</si>
  <si>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</si>
  <si>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</si>
  <si>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</si>
  <si>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</si>
  <si>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</si>
  <si>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</si>
  <si>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</si>
  <si>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</si>
  <si>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</si>
  <si>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</si>
  <si>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</si>
  <si>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</si>
  <si>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</si>
  <si>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</si>
  <si>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</si>
  <si>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</si>
  <si>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</si>
  <si>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</si>
  <si>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</si>
  <si>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</si>
  <si>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</si>
  <si>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</si>
  <si>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</si>
  <si>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</si>
  <si>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</si>
  <si>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</si>
  <si>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</si>
  <si>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</si>
  <si>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</si>
  <si>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</si>
  <si>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</si>
  <si>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</si>
  <si>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</si>
  <si>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</si>
  <si>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</si>
  <si>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</si>
  <si>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</si>
  <si>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</si>
  <si>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</si>
  <si>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</si>
  <si>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</si>
  <si>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</si>
  <si>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</si>
  <si>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</si>
  <si>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</si>
  <si>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</si>
  <si>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</si>
  <si>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</si>
  <si>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</si>
  <si>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</si>
  <si>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</si>
  <si>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</si>
  <si>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</si>
  <si>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</si>
  <si>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</si>
  <si>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</si>
  <si>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</si>
  <si>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</si>
  <si>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</si>
  <si>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</si>
  <si>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</si>
  <si>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</si>
  <si>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</si>
  <si>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</si>
  <si>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</si>
  <si>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</si>
  <si>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</si>
  <si>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</si>
  <si>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</si>
  <si>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</si>
  <si>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</si>
  <si>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</si>
  <si>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</si>
  <si>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</si>
  <si>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</si>
  <si>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</si>
  <si>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</si>
  <si>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</si>
  <si>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</si>
  <si>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</si>
  <si>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</si>
  <si>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</si>
  <si>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</si>
  <si>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</si>
  <si>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</si>
  <si>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</si>
  <si>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</si>
  <si>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</si>
  <si>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</si>
  <si>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</si>
  <si>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</si>
  <si>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</si>
  <si>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</si>
  <si>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</si>
  <si>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</si>
  <si>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</si>
  <si>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</si>
  <si>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</si>
  <si>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</si>
  <si>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</si>
  <si>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</si>
  <si>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</si>
  <si>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</si>
  <si>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</si>
  <si>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</si>
  <si>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</si>
  <si>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</si>
  <si>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</si>
  <si>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</si>
  <si>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</si>
  <si>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</si>
  <si>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</si>
  <si>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</si>
  <si>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</si>
  <si>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</si>
  <si>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</si>
  <si>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</si>
  <si>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</si>
  <si>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</si>
  <si>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</si>
  <si>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</si>
  <si>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</si>
  <si>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</si>
  <si>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</si>
  <si>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</si>
  <si>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</si>
  <si>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</si>
  <si>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</si>
  <si>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</si>
  <si>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</si>
  <si>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</si>
  <si>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</si>
  <si>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</si>
  <si>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</si>
  <si>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</si>
  <si>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</si>
  <si>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</si>
  <si>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</si>
  <si>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</si>
  <si>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</si>
  <si>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</si>
  <si>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</si>
  <si>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</si>
  <si>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</si>
  <si>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</si>
  <si>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</si>
  <si>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</si>
  <si>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</si>
  <si>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</si>
  <si>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</si>
  <si>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</si>
  <si>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</si>
  <si>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</si>
  <si>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</si>
  <si>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</si>
  <si>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</si>
  <si>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</si>
  <si>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</si>
  <si>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</si>
  <si>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</si>
  <si>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</si>
  <si>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</si>
  <si>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</si>
  <si>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</si>
  <si>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</si>
  <si>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</si>
  <si>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</si>
  <si>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</si>
  <si>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</si>
  <si>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</si>
  <si>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</si>
  <si>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</si>
  <si>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</si>
  <si>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</si>
  <si>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</si>
  <si>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</si>
  <si>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</si>
  <si>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</si>
  <si>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</si>
  <si>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</si>
  <si>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</si>
  <si>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</si>
  <si>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</si>
  <si>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</si>
  <si>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</si>
  <si>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</si>
  <si>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</si>
  <si>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</si>
  <si>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</si>
  <si>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</si>
  <si>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</si>
  <si>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</si>
  <si>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</si>
  <si>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</si>
  <si>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</si>
  <si>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</si>
  <si>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</si>
  <si>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</si>
  <si>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</si>
  <si>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</si>
  <si>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</si>
  <si>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</si>
  <si>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</si>
  <si>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</si>
  <si>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</si>
  <si>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</si>
  <si>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</si>
  <si>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</si>
  <si>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</si>
  <si>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</si>
  <si>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</si>
  <si>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</si>
  <si>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</si>
  <si>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</si>
  <si>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</si>
  <si>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</si>
  <si>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</si>
  <si>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</si>
  <si>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</si>
  <si>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</si>
  <si>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</si>
  <si>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</si>
  <si>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</si>
  <si>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</si>
  <si>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</si>
  <si>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</si>
  <si>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</si>
  <si>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</si>
  <si>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</si>
  <si>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</si>
  <si>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</si>
  <si>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</si>
  <si>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</si>
  <si>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</si>
  <si>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</si>
  <si>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</si>
  <si>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</si>
  <si>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</si>
  <si>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</si>
  <si>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</si>
  <si>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</si>
  <si>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</si>
  <si>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</si>
  <si>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</si>
  <si>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</si>
  <si>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</si>
  <si>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</si>
  <si>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</si>
  <si>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</si>
  <si>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</si>
  <si>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</si>
  <si>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</si>
  <si>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</si>
  <si>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</si>
  <si>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</si>
  <si>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</si>
  <si>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</si>
  <si>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</si>
  <si>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</si>
  <si>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</si>
  <si>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</si>
  <si>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</si>
  <si>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</si>
  <si>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</si>
  <si>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</si>
  <si>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</si>
  <si>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</si>
  <si>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</si>
  <si>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</si>
  <si>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</si>
  <si>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</si>
  <si>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</si>
  <si>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</si>
  <si>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</si>
  <si>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</si>
  <si>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</si>
  <si>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</si>
  <si>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</si>
  <si>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</si>
  <si>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</si>
  <si>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</si>
  <si>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</si>
  <si>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</si>
  <si>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</si>
  <si>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</si>
  <si>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</si>
  <si>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</si>
  <si>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</si>
  <si>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</si>
  <si>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</si>
  <si>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</si>
  <si>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</si>
  <si>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</si>
  <si>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</si>
  <si>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</si>
  <si>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</si>
  <si>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</si>
  <si>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</si>
  <si>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</si>
  <si>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</si>
  <si>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</si>
  <si>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</si>
  <si>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</si>
  <si>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</si>
  <si>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</si>
  <si>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</si>
  <si>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</si>
  <si>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</si>
  <si>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</si>
  <si>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</si>
  <si>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</si>
  <si>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</si>
  <si>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</si>
  <si>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</si>
  <si>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</si>
  <si>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</si>
  <si>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</si>
  <si>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</si>
  <si>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</si>
  <si>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</si>
  <si>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</si>
  <si>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</si>
  <si>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</si>
  <si>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</si>
  <si>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</si>
  <si>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</si>
  <si>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</si>
  <si>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</si>
  <si>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</si>
  <si>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</si>
  <si>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</si>
  <si>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</si>
  <si>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</si>
  <si>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</si>
  <si>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</si>
  <si>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</si>
  <si>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</si>
  <si>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</si>
  <si>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</si>
  <si>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</si>
  <si>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</si>
  <si>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</si>
  <si>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</si>
  <si>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</si>
  <si>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</si>
  <si>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</si>
  <si>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</si>
  <si>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</si>
  <si>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</si>
  <si>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</si>
  <si>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</si>
  <si>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</si>
  <si>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</si>
  <si>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</si>
  <si>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</si>
  <si>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</si>
  <si>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</si>
  <si>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</si>
  <si>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</si>
  <si>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</si>
  <si>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</si>
  <si>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</si>
  <si>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</si>
  <si>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</si>
  <si>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</si>
  <si>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</si>
  <si>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</si>
  <si>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</si>
  <si>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</si>
  <si>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</si>
  <si>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</si>
  <si>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</si>
  <si>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</si>
  <si>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</si>
  <si>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</si>
  <si>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</si>
  <si>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</si>
  <si>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</si>
  <si>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</si>
  <si>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</si>
  <si>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</si>
  <si>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</si>
  <si>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</si>
  <si>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</si>
  <si>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</si>
  <si>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</si>
  <si>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</si>
  <si>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</si>
  <si>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</si>
  <si>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</si>
  <si>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</si>
  <si>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</si>
  <si>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</si>
  <si>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</si>
  <si>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</si>
  <si>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</si>
  <si>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</si>
  <si>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</si>
  <si>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</si>
  <si>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</si>
  <si>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</si>
  <si>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</si>
  <si>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</si>
  <si>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</si>
  <si>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</si>
  <si>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</si>
  <si>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</si>
  <si>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</si>
  <si>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</si>
  <si>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</si>
  <si>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</si>
  <si>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</si>
  <si>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</si>
  <si>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</si>
  <si>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</si>
  <si>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</si>
  <si>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</si>
  <si>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</si>
  <si>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</si>
  <si>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</si>
  <si>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</si>
  <si>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</si>
  <si>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</si>
  <si>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</si>
  <si>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</si>
  <si>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</si>
  <si>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</si>
  <si>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</si>
  <si>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</si>
  <si>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</si>
  <si>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</si>
  <si>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</si>
  <si>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</si>
  <si>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</si>
  <si>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</si>
  <si>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</si>
  <si>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</si>
  <si>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</si>
  <si>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</si>
  <si>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</si>
  <si>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</si>
  <si>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</si>
  <si>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</si>
  <si>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</si>
  <si>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</si>
  <si>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</si>
  <si>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</si>
  <si>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</si>
  <si>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</si>
  <si>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</si>
  <si>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</si>
  <si>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</si>
  <si>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</si>
  <si>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</si>
  <si>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</si>
  <si>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</si>
  <si>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</si>
  <si>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</si>
  <si>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</si>
  <si>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</si>
  <si>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</si>
  <si>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</si>
  <si>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</si>
  <si>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</si>
  <si>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</si>
  <si>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</si>
  <si>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</si>
  <si>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</si>
  <si>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</si>
  <si>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</si>
  <si>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</si>
  <si>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</si>
  <si>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</si>
  <si>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</si>
  <si>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</si>
  <si>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</si>
  <si>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</si>
  <si>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</si>
  <si>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</si>
  <si>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</si>
  <si>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</si>
  <si>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</si>
  <si>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</si>
  <si>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</si>
  <si>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</si>
  <si>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</si>
  <si>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</si>
  <si>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</si>
  <si>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</si>
  <si>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</si>
  <si>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</si>
  <si>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</si>
  <si>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</si>
  <si>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</si>
  <si>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</si>
  <si>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</si>
  <si>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</si>
  <si>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</si>
  <si>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</si>
  <si>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</si>
  <si>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</si>
  <si>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</si>
  <si>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</si>
  <si>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</si>
  <si>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</si>
  <si>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</si>
  <si>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</si>
  <si>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</si>
  <si>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</si>
  <si>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</si>
  <si>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</si>
  <si>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</si>
  <si>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</si>
  <si>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</si>
  <si>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</si>
  <si>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</si>
  <si>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</si>
  <si>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</si>
  <si>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</si>
  <si>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</si>
  <si>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</si>
  <si>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</si>
  <si>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</si>
  <si>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</si>
  <si>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</si>
  <si>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</si>
  <si>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</si>
  <si>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</si>
  <si>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</si>
  <si>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</si>
  <si>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</si>
  <si>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</si>
  <si>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</si>
  <si>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</si>
  <si>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</si>
  <si>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</si>
  <si>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</si>
  <si>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</si>
  <si>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</si>
  <si>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</si>
  <si>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</si>
  <si>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</si>
  <si>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</si>
  <si>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</si>
  <si>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</si>
  <si>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</si>
  <si>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</si>
  <si>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</si>
  <si>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</si>
  <si>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</si>
  <si>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</si>
  <si>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</si>
  <si>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</si>
  <si>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</si>
  <si>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</si>
  <si>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</si>
  <si>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</si>
  <si>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</si>
  <si>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</si>
  <si>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</si>
  <si>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</si>
  <si>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</si>
  <si>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</si>
  <si>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</si>
  <si>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</si>
  <si>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</si>
  <si>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</si>
  <si>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</si>
  <si>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</si>
  <si>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</si>
  <si>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</si>
  <si>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</si>
  <si>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</si>
  <si>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</si>
  <si>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</si>
  <si>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</si>
  <si>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</si>
  <si>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</si>
  <si>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</si>
  <si>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</si>
  <si>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</si>
  <si>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</si>
  <si>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</si>
  <si>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</si>
  <si>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</si>
  <si>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</si>
  <si>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</si>
  <si>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</si>
  <si>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</si>
  <si>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</si>
  <si>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</si>
  <si>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</si>
  <si>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</si>
  <si>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</si>
  <si>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</si>
  <si>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</si>
  <si>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</si>
  <si>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</si>
  <si>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</si>
  <si>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</si>
  <si>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</si>
  <si>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</si>
  <si>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</si>
  <si>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</si>
  <si>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</si>
  <si>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</si>
  <si>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</si>
  <si>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</si>
  <si>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</si>
  <si>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</si>
  <si>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</si>
  <si>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</si>
  <si>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</si>
  <si>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</si>
  <si>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</si>
  <si>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</si>
  <si>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</si>
  <si>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</si>
  <si>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</si>
  <si>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</si>
  <si>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</si>
  <si>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</si>
  <si>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</si>
  <si>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</si>
  <si>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</si>
  <si>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</si>
  <si>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</si>
  <si>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</si>
  <si>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</si>
  <si>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</si>
  <si>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</si>
  <si>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</si>
  <si>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</si>
  <si>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</si>
  <si>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</si>
  <si>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</si>
  <si>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</si>
  <si>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</si>
  <si>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</si>
  <si>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</si>
  <si>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</si>
  <si>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</si>
  <si>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</si>
  <si>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</si>
  <si>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</si>
  <si>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</si>
  <si>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</si>
  <si>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</si>
  <si>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</si>
  <si>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</si>
  <si>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</si>
  <si>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</si>
  <si>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</si>
  <si>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</si>
  <si>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</si>
  <si>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</si>
  <si>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</si>
  <si>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</si>
  <si>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</si>
  <si>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</si>
  <si>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</si>
  <si>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</si>
  <si>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</si>
  <si>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</si>
  <si>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</si>
  <si>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</si>
  <si>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</si>
  <si>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</si>
  <si>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</si>
  <si>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</si>
  <si>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</si>
  <si>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</si>
  <si>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</si>
  <si>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</si>
  <si>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</si>
  <si>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</si>
  <si>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</si>
  <si>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</si>
  <si>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</si>
  <si>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</si>
  <si>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</si>
  <si>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</si>
  <si>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</si>
  <si>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</si>
  <si>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</si>
  <si>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</si>
  <si>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</si>
  <si>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</si>
  <si>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</si>
  <si>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</si>
  <si>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</si>
  <si>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</si>
  <si>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</si>
  <si>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</si>
  <si>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</si>
  <si>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</si>
  <si>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</si>
  <si>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</si>
  <si>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</si>
  <si>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</si>
  <si>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</si>
  <si>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</si>
  <si>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</si>
  <si>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</si>
  <si>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</si>
  <si>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</si>
  <si>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</si>
  <si>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</si>
  <si>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</si>
  <si>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</si>
  <si>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</si>
  <si>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</si>
  <si>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</si>
  <si>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</si>
  <si>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</si>
  <si>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</si>
  <si>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</si>
  <si>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</si>
  <si>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</si>
  <si>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</si>
  <si>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</si>
  <si>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</si>
  <si>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</si>
  <si>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</si>
  <si>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</si>
  <si>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</si>
  <si>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</si>
  <si>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</si>
  <si>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</si>
  <si>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</si>
  <si>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</si>
  <si>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</si>
  <si>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</si>
  <si>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</si>
  <si>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</si>
  <si>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</si>
  <si>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</si>
  <si>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</si>
  <si>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</si>
  <si>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</si>
  <si>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</si>
  <si>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</si>
  <si>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</si>
  <si>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</si>
  <si>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</si>
  <si>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</si>
  <si>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</si>
  <si>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</si>
  <si>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</si>
  <si>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</si>
  <si>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</si>
  <si>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</si>
  <si>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</si>
  <si>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</si>
  <si>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</si>
  <si>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</si>
  <si>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</si>
  <si>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</si>
  <si>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</si>
  <si>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</si>
  <si>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</si>
  <si>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</si>
  <si>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</si>
  <si>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</si>
  <si>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</si>
  <si>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</si>
  <si>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</si>
  <si>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</si>
  <si>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</si>
  <si>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</si>
  <si>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</si>
  <si>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</si>
  <si>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</si>
  <si>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</si>
  <si>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</si>
  <si>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</si>
  <si>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</si>
  <si>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</si>
  <si>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</si>
  <si>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</si>
  <si>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</si>
  <si>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</si>
  <si>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</si>
  <si>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</si>
  <si>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</si>
  <si>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</si>
  <si>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</si>
  <si>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</si>
  <si>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</si>
  <si>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</si>
  <si>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</si>
  <si>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</si>
  <si>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</si>
  <si>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</si>
  <si>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</si>
  <si>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</si>
  <si>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</si>
  <si>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</si>
  <si>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</si>
  <si>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</si>
  <si>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</si>
  <si>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</si>
  <si>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</si>
  <si>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</si>
  <si>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</si>
  <si>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</si>
  <si>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</si>
  <si>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</si>
  <si>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</si>
  <si>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</si>
  <si>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</si>
  <si>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</si>
  <si>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</si>
  <si>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</si>
  <si>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</si>
  <si>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</si>
  <si>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</si>
  <si>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</si>
  <si>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</si>
  <si>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</si>
  <si>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</si>
  <si>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</si>
  <si>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</si>
  <si>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</si>
  <si>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</si>
  <si>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</si>
  <si>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</si>
  <si>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</si>
  <si>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</si>
  <si>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</si>
  <si>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</si>
  <si>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</si>
  <si>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</si>
  <si>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</si>
  <si>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</si>
  <si>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</si>
  <si>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</si>
  <si>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</si>
  <si>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</si>
  <si>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</si>
  <si>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</si>
  <si>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</si>
  <si>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</si>
  <si>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</si>
  <si>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</si>
  <si>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</si>
  <si>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</si>
  <si>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</si>
  <si>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</si>
  <si>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</si>
  <si>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</si>
  <si>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</si>
  <si>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</si>
  <si>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</si>
  <si>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</si>
  <si>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</si>
  <si>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</si>
  <si>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</si>
  <si>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</si>
  <si>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</si>
  <si>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</si>
  <si>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</si>
  <si>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</si>
  <si>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</si>
  <si>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</si>
  <si>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</si>
  <si>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</si>
  <si>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</si>
  <si>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</si>
  <si>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</si>
  <si>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</si>
  <si>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</si>
  <si>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</si>
  <si>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</si>
  <si>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</si>
  <si>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</si>
  <si>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</si>
  <si>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</si>
  <si>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</si>
  <si>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</si>
  <si>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</si>
  <si>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</si>
  <si>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</si>
  <si>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</si>
  <si>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</si>
  <si>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</si>
  <si>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</si>
  <si>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</si>
  <si>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</si>
  <si>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</si>
  <si>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</si>
  <si>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</si>
  <si>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</si>
  <si>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</si>
  <si>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</si>
  <si>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</si>
  <si>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</si>
  <si>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</si>
  <si>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</si>
  <si>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</si>
  <si>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</si>
  <si>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</si>
  <si>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</si>
  <si>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</si>
  <si>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</si>
  <si>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</si>
  <si>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</si>
  <si>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</si>
  <si>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</si>
  <si>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</si>
  <si>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</si>
  <si>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</si>
  <si>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</si>
  <si>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</si>
  <si>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</si>
  <si>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</si>
  <si>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</si>
  <si>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</si>
  <si>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</si>
  <si>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</si>
  <si>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</si>
  <si>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</si>
  <si>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</si>
  <si>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</si>
  <si>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</si>
  <si>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</si>
  <si>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</si>
  <si>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</si>
  <si>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</si>
  <si>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</si>
  <si>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</si>
  <si>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</si>
  <si>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</si>
  <si>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</si>
  <si>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</si>
  <si>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</si>
  <si>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</si>
  <si>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</si>
  <si>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</si>
  <si>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</si>
  <si>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</si>
  <si>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</si>
  <si>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</si>
  <si>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</si>
  <si>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</si>
  <si>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</si>
  <si>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</si>
  <si>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</si>
  <si>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</si>
  <si>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</si>
  <si>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</si>
  <si>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</si>
  <si>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</si>
  <si>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</si>
  <si>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</si>
  <si>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</si>
  <si>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</si>
  <si>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</si>
  <si>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</si>
  <si>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</si>
  <si>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</si>
  <si>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</si>
  <si>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</si>
  <si>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</si>
  <si>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</si>
  <si>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</si>
  <si>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</si>
  <si>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</si>
  <si>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</si>
  <si>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</si>
  <si>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</si>
  <si>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</si>
  <si>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</si>
  <si>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</si>
  <si>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</si>
  <si>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</si>
  <si>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</si>
  <si>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</si>
  <si>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</si>
  <si>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</si>
  <si>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</si>
  <si>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</si>
  <si>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</si>
  <si>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</si>
  <si>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</si>
  <si>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</si>
  <si>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</si>
  <si>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</si>
  <si>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</si>
  <si>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</si>
  <si>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</si>
  <si>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</si>
  <si>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</si>
  <si>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</si>
  <si>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</si>
  <si>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</si>
  <si>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</si>
  <si>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</si>
  <si>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</si>
  <si>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</si>
  <si>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</si>
  <si>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</si>
  <si>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</si>
  <si>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</si>
  <si>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</si>
  <si>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</si>
  <si>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</si>
  <si>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</si>
  <si>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</si>
  <si>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</si>
  <si>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</si>
  <si>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</si>
  <si>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</si>
  <si>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</si>
  <si>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</si>
  <si>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</si>
  <si>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</si>
  <si>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</si>
  <si>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</si>
  <si>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</si>
  <si>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</si>
  <si>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</si>
  <si>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</si>
  <si>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</si>
  <si>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</si>
  <si>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</si>
  <si>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</si>
  <si>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</si>
  <si>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</si>
  <si>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</si>
  <si>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</si>
  <si>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</si>
  <si>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</si>
  <si>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</si>
  <si>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</si>
  <si>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</si>
  <si>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</si>
  <si>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</si>
  <si>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</si>
  <si>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</si>
  <si>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</si>
  <si>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</si>
  <si>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</si>
  <si>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</si>
  <si>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</si>
  <si>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</si>
  <si>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</si>
  <si>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</si>
  <si>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</si>
  <si>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</si>
  <si>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</si>
  <si>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</si>
  <si>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</si>
  <si>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</si>
  <si>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</si>
  <si>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</si>
  <si>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</si>
  <si>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</si>
  <si>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</si>
  <si>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</si>
  <si>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</si>
  <si>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</si>
  <si>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</si>
  <si>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</si>
  <si>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</si>
  <si>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</si>
  <si>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</si>
  <si>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</si>
  <si>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</si>
  <si>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</si>
  <si>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</si>
  <si>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</si>
  <si>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</si>
  <si>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</si>
  <si>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</si>
  <si>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</si>
  <si>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</si>
  <si>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</si>
  <si>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</si>
  <si>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</si>
  <si>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</si>
  <si>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</si>
  <si>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</si>
  <si>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</si>
  <si>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</si>
  <si>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</si>
  <si>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</si>
  <si>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</si>
  <si>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</si>
  <si>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</si>
  <si>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</si>
  <si>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</si>
  <si>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</si>
  <si>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</si>
  <si>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</si>
  <si>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</si>
  <si>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</si>
  <si>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</si>
  <si>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</si>
  <si>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</si>
  <si>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</si>
  <si>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</si>
  <si>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</si>
  <si>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</si>
  <si>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</si>
  <si>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</si>
  <si>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</si>
  <si>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</si>
  <si>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</si>
  <si>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</si>
  <si>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</si>
  <si>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</si>
  <si>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</si>
  <si>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</si>
  <si>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</si>
  <si>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</si>
  <si>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</si>
  <si>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</si>
  <si>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</si>
  <si>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</si>
  <si>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</si>
  <si>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</si>
  <si>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</si>
  <si>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</si>
  <si>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</si>
  <si>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</si>
  <si>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</si>
  <si>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</si>
  <si>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</si>
  <si>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</si>
  <si>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</si>
  <si>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</si>
  <si>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</si>
  <si>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</si>
  <si>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</si>
  <si>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</si>
  <si>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</si>
  <si>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</si>
  <si>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</si>
  <si>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</si>
  <si>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</si>
  <si>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</si>
  <si>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</si>
  <si>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</si>
  <si>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</si>
  <si>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</si>
  <si>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</si>
  <si>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</si>
  <si>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</si>
  <si>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</si>
  <si>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</si>
  <si>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</si>
  <si>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</si>
  <si>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</si>
  <si>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</si>
  <si>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</si>
  <si>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</si>
  <si>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</si>
  <si>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</si>
  <si>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</si>
  <si>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</si>
  <si>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</si>
  <si>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</si>
  <si>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</si>
  <si>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</si>
  <si>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</si>
  <si>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</si>
  <si>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</si>
  <si>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</si>
  <si>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</si>
  <si>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</si>
  <si>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</si>
  <si>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</si>
  <si>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</si>
  <si>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</si>
  <si>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</si>
  <si>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</si>
  <si>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</si>
  <si>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</si>
  <si>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</si>
  <si>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</si>
  <si>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</si>
  <si>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</si>
  <si>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</si>
  <si>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</si>
  <si>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</si>
  <si>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</si>
  <si>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</si>
  <si>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</si>
  <si>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</si>
  <si>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</si>
  <si>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</si>
  <si>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</si>
  <si>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</si>
  <si>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</si>
  <si>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</si>
  <si>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</si>
  <si>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</si>
  <si>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</si>
  <si>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</si>
  <si>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</si>
  <si>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</si>
  <si>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</si>
  <si>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</si>
  <si>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</si>
  <si>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</si>
  <si>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</si>
  <si>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</si>
  <si>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</si>
  <si>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</si>
  <si>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</si>
  <si>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</si>
  <si>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</si>
  <si>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</si>
  <si>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</si>
  <si>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</si>
  <si>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</si>
  <si>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</si>
  <si>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</si>
  <si>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</si>
  <si>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</si>
  <si>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</si>
  <si>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</si>
  <si>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</si>
  <si>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</si>
  <si>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</si>
  <si>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</si>
  <si>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</si>
  <si>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</si>
  <si>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</si>
  <si>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</si>
  <si>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</si>
  <si>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</si>
  <si>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</si>
  <si>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</si>
  <si>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</si>
  <si>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</si>
  <si>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</si>
  <si>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</si>
  <si>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</si>
  <si>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</si>
  <si>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</si>
  <si>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</si>
  <si>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</si>
  <si>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</si>
  <si>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</si>
  <si>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</si>
  <si>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</si>
  <si>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</si>
  <si>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</si>
  <si>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</si>
  <si>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</si>
  <si>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</si>
  <si>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</si>
  <si>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</si>
  <si>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</si>
  <si>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</si>
  <si>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</si>
  <si>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</si>
  <si>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</si>
  <si>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</si>
  <si>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</si>
  <si>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</si>
  <si>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</si>
  <si>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</si>
  <si>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</si>
  <si>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</si>
  <si>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</si>
  <si>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</si>
  <si>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</si>
  <si>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</si>
  <si>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</si>
  <si>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</si>
  <si>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</si>
  <si>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</si>
  <si>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</si>
  <si>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</si>
  <si>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</si>
  <si>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</si>
  <si>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</si>
  <si>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</si>
  <si>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</si>
  <si>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</si>
  <si>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</si>
  <si>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</si>
  <si>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</si>
  <si>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</si>
  <si>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</si>
  <si>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</si>
  <si>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</si>
  <si>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</si>
  <si>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</si>
  <si>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</si>
  <si>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</si>
  <si>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</si>
  <si>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</si>
  <si>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</si>
  <si>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</si>
  <si>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</si>
  <si>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</si>
  <si>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</si>
  <si>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</si>
  <si>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</si>
  <si>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</si>
  <si>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</si>
  <si>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</si>
  <si>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</si>
  <si>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</si>
  <si>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</si>
  <si>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</si>
  <si>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</si>
  <si>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</si>
  <si>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</si>
  <si>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</si>
  <si>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</si>
  <si>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</si>
  <si>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</si>
  <si>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</si>
  <si>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</si>
  <si>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</si>
  <si>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</si>
  <si>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</si>
  <si>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</si>
  <si>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</si>
  <si>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</si>
  <si>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</si>
  <si>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</si>
  <si>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</si>
  <si>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</si>
  <si>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</si>
  <si>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</si>
  <si>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</si>
  <si>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</si>
  <si>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</si>
  <si>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</si>
  <si>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</si>
  <si>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</si>
  <si>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</si>
  <si>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</si>
  <si>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</si>
  <si>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</si>
  <si>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</si>
  <si>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</si>
  <si>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</si>
  <si>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</si>
  <si>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</si>
  <si>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</si>
  <si>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</si>
  <si>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</si>
  <si>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</si>
  <si>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</si>
  <si>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</si>
  <si>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</si>
  <si>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</si>
  <si>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</si>
  <si>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</si>
  <si>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</si>
  <si>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</si>
  <si>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</si>
  <si>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</si>
  <si>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</si>
  <si>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</si>
  <si>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</si>
  <si>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</si>
  <si>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</si>
  <si>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</si>
  <si>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</si>
  <si>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</si>
  <si>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</si>
  <si>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</si>
  <si>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</si>
  <si>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</si>
  <si>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</si>
  <si>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</si>
  <si>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</si>
  <si>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</si>
  <si>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</si>
  <si>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</si>
  <si>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</si>
  <si>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</si>
  <si>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</si>
  <si>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</si>
  <si>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</si>
  <si>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</si>
  <si>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</si>
  <si>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</si>
  <si>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</si>
  <si>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</si>
  <si>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</si>
  <si>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</si>
  <si>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</si>
  <si>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</si>
  <si>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</si>
  <si>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</si>
  <si>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</si>
  <si>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</si>
  <si>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</si>
  <si>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</si>
  <si>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</si>
  <si>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</si>
  <si>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</si>
  <si>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</si>
  <si>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</si>
  <si>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</si>
  <si>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</si>
  <si>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</si>
  <si>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</si>
  <si>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</si>
  <si>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</si>
  <si>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</si>
  <si>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</si>
  <si>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</si>
  <si>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</si>
  <si>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</si>
  <si>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</si>
  <si>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</si>
  <si>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</si>
  <si>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</si>
  <si>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</si>
  <si>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</si>
  <si>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</si>
  <si>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</si>
  <si>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</si>
  <si>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</si>
  <si>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</si>
  <si>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</si>
  <si>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</si>
  <si>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</si>
  <si>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</si>
  <si>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</si>
  <si>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</si>
  <si>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</si>
  <si>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</si>
  <si>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</si>
  <si>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</si>
  <si>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</si>
  <si>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</si>
  <si>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</si>
  <si>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</si>
  <si>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</si>
  <si>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</si>
  <si>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</si>
  <si>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</si>
  <si>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</si>
  <si>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</si>
  <si>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</si>
  <si>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</si>
  <si>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</si>
  <si>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</si>
  <si>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</si>
  <si>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</si>
  <si>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</si>
  <si>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</si>
  <si>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</si>
  <si>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</si>
  <si>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</si>
  <si>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</si>
  <si>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</si>
  <si>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</si>
  <si>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</si>
  <si>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</si>
  <si>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</si>
  <si>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</si>
  <si>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</si>
  <si>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</si>
  <si>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</si>
  <si>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</si>
  <si>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</si>
  <si>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</si>
  <si>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</si>
  <si>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</si>
  <si>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</si>
  <si>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</si>
  <si>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</si>
  <si>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</si>
  <si>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</si>
  <si>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</si>
  <si>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</si>
  <si>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</si>
  <si>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</si>
  <si>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</si>
  <si>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</si>
  <si>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</si>
  <si>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</si>
  <si>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</si>
  <si>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</si>
  <si>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</si>
  <si>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</si>
  <si>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</si>
  <si>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</si>
  <si>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</si>
  <si>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</si>
  <si>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</si>
  <si>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</si>
  <si>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</si>
  <si>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</si>
  <si>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</si>
  <si>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</si>
  <si>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</si>
  <si>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</si>
  <si>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</si>
  <si>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</si>
  <si>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</si>
  <si>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</si>
  <si>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</si>
  <si>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</si>
  <si>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</si>
  <si>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</si>
  <si>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</si>
  <si>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</si>
  <si>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</si>
  <si>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</si>
  <si>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</si>
  <si>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</si>
  <si>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</si>
  <si>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</si>
  <si>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</si>
  <si>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</si>
  <si>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</si>
  <si>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</si>
  <si>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</si>
  <si>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</si>
  <si>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</si>
  <si>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</si>
  <si>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</si>
  <si>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</si>
  <si>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</si>
  <si>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</si>
  <si>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</si>
  <si>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</si>
  <si>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</si>
  <si>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</si>
  <si>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</si>
  <si>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</si>
  <si>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</si>
  <si>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</si>
  <si>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</si>
  <si>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</si>
  <si>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</si>
  <si>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</si>
  <si>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</si>
  <si>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</si>
  <si>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</si>
  <si>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</si>
  <si>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</si>
  <si>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</si>
  <si>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</si>
  <si>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</si>
  <si>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</si>
  <si>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</si>
  <si>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</si>
  <si>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</si>
  <si>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</si>
  <si>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</si>
  <si>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</si>
  <si>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</si>
  <si>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</si>
  <si>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</si>
  <si>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</si>
  <si>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</si>
  <si>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</si>
  <si>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</si>
  <si>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</si>
  <si>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</si>
  <si>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</si>
  <si>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</si>
  <si>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</si>
  <si>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</si>
  <si>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</si>
  <si>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</si>
  <si>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</si>
  <si>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</si>
  <si>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</si>
  <si>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</si>
  <si>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</si>
  <si>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</si>
  <si>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</si>
  <si>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</si>
  <si>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</si>
  <si>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</si>
  <si>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</si>
  <si>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</si>
  <si>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</si>
  <si>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</si>
  <si>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</si>
  <si>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</si>
  <si>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</si>
  <si>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</si>
  <si>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</si>
  <si>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</si>
  <si>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</si>
  <si>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</si>
  <si>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</si>
  <si>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</si>
  <si>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</si>
  <si>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</si>
  <si>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</si>
  <si>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</si>
  <si>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</si>
  <si>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</si>
  <si>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</si>
  <si>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</si>
  <si>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</si>
  <si>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</si>
  <si>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</si>
  <si>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</si>
  <si>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</si>
  <si>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</si>
  <si>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</si>
  <si>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</si>
  <si>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</si>
  <si>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</si>
  <si>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</si>
  <si>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</si>
  <si>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</si>
  <si>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</si>
  <si>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</si>
  <si>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</si>
  <si>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</si>
  <si>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</si>
  <si>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</si>
  <si>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</si>
  <si>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</si>
  <si>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</si>
  <si>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</si>
  <si>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</si>
  <si>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</si>
  <si>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</si>
  <si>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</si>
  <si>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</si>
  <si>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</si>
  <si>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</si>
  <si>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</si>
  <si>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</si>
  <si>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</si>
  <si>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</si>
  <si>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</si>
  <si>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</si>
  <si>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</si>
  <si>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</si>
  <si>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</si>
  <si>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</si>
  <si>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</si>
  <si>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</si>
  <si>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</si>
  <si>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</si>
  <si>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</si>
  <si>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</si>
  <si>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</si>
  <si>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</si>
  <si>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</si>
  <si>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</si>
  <si>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</si>
  <si>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</si>
  <si>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</si>
  <si>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</si>
  <si>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</si>
  <si>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</si>
  <si>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</si>
  <si>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</si>
  <si>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</si>
  <si>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</si>
  <si>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</si>
  <si>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</si>
  <si>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</si>
  <si>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</si>
  <si>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</si>
  <si>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</si>
  <si>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</si>
  <si>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</si>
  <si>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</si>
  <si>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</si>
  <si>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</si>
  <si>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</si>
  <si>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</si>
  <si>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</si>
  <si>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</si>
  <si>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</si>
  <si>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</si>
  <si>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</si>
  <si>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</si>
  <si>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</si>
  <si>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</si>
  <si>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</si>
  <si>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</si>
  <si>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</si>
  <si>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</si>
  <si>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</si>
  <si>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</si>
  <si>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</si>
  <si>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</si>
  <si>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</si>
  <si>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</si>
  <si>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</si>
  <si>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</si>
  <si>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</si>
  <si>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</si>
  <si>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</si>
  <si>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</si>
  <si>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</si>
  <si>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</si>
  <si>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</si>
  <si>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</si>
  <si>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</si>
  <si>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</si>
  <si>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</si>
  <si>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</si>
  <si>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</si>
  <si>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</si>
  <si>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</si>
  <si>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</si>
  <si>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</si>
  <si>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</si>
  <si>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</si>
  <si>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</si>
  <si>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</si>
  <si>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</si>
  <si>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</si>
  <si>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</si>
  <si>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</si>
  <si>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</si>
  <si>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</si>
  <si>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</si>
  <si>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</si>
  <si>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</si>
  <si>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</si>
  <si>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</si>
  <si>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</si>
  <si>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</si>
  <si>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</si>
  <si>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</si>
  <si>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</si>
  <si>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</si>
  <si>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</si>
  <si>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</si>
  <si>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</si>
  <si>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</si>
  <si>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</si>
  <si>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</si>
  <si>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</si>
  <si>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</si>
  <si>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</si>
  <si>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</si>
  <si>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</si>
  <si>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</si>
  <si>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</si>
  <si>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</si>
  <si>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</si>
  <si>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</si>
  <si>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</si>
  <si>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</si>
  <si>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</si>
  <si>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</si>
  <si>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</si>
  <si>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</si>
  <si>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</si>
  <si>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</si>
  <si>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</si>
  <si>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</si>
  <si>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</si>
  <si>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</si>
  <si>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</si>
  <si>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</si>
  <si>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</si>
  <si>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</si>
  <si>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</si>
  <si>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</si>
  <si>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</si>
  <si>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</si>
  <si>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</si>
  <si>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</si>
  <si>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</si>
  <si>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</si>
  <si>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</si>
  <si>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</si>
  <si>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</si>
  <si>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</si>
  <si>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</si>
  <si>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</si>
  <si>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</si>
  <si>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</si>
  <si>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</si>
  <si>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</si>
  <si>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</si>
  <si>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</si>
  <si>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</si>
  <si>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</si>
  <si>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</si>
  <si>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</si>
  <si>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</si>
  <si>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</si>
  <si>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</si>
  <si>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</si>
  <si>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</si>
  <si>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</si>
  <si>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</si>
  <si>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</si>
  <si>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</si>
  <si>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</si>
  <si>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</si>
  <si>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</si>
  <si>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</si>
  <si>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</si>
  <si>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</si>
  <si>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</si>
  <si>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</si>
  <si>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</si>
  <si>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</si>
  <si>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</si>
  <si>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</si>
  <si>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</si>
  <si>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</si>
  <si>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</si>
  <si>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</si>
  <si>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</si>
  <si>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</si>
  <si>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</si>
  <si>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</si>
  <si>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</si>
  <si>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</si>
  <si>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</si>
  <si>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</si>
  <si>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</si>
  <si>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</si>
  <si>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</si>
  <si>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</si>
  <si>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</si>
  <si>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</si>
  <si>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</si>
  <si>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</si>
  <si>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</si>
  <si>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</si>
  <si>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</si>
  <si>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</si>
  <si>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</si>
  <si>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</si>
  <si>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</si>
  <si>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</si>
  <si>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</si>
  <si>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</si>
  <si>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</si>
  <si>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</si>
  <si>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</si>
  <si>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</si>
  <si>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</si>
  <si>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</si>
  <si>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</si>
  <si>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</si>
  <si>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</si>
  <si>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</si>
  <si>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</si>
  <si>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</si>
  <si>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</si>
  <si>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</si>
  <si>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</si>
  <si>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</si>
  <si>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</si>
  <si>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</si>
  <si>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</si>
  <si>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</si>
  <si>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</si>
  <si>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</si>
  <si>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</si>
  <si>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</si>
  <si>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</si>
  <si>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</si>
  <si>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</si>
  <si>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</si>
  <si>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</si>
  <si>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</si>
  <si>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</si>
  <si>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</si>
  <si>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</si>
  <si>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</si>
  <si>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</si>
  <si>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</si>
  <si>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</si>
  <si>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</si>
  <si>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</si>
  <si>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</si>
  <si>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</si>
  <si>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</si>
  <si>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</si>
  <si>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</si>
  <si>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</si>
  <si>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</si>
  <si>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</si>
  <si>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</si>
  <si>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</si>
  <si>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</si>
  <si>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</si>
  <si>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</si>
  <si>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</si>
  <si>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</si>
  <si>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</si>
  <si>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</si>
  <si>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</si>
  <si>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</si>
  <si>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</si>
  <si>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</si>
  <si>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</si>
  <si>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</si>
  <si>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</si>
  <si>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</si>
  <si>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</si>
  <si>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</si>
  <si>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</si>
  <si>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</si>
  <si>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</si>
  <si>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</si>
  <si>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</si>
  <si>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</si>
  <si>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</si>
  <si>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</si>
  <si>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</si>
  <si>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</si>
  <si>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</si>
  <si>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</si>
  <si>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</si>
  <si>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</si>
  <si>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</si>
  <si>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</si>
  <si>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</si>
  <si>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</si>
  <si>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</si>
  <si>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</si>
  <si>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</si>
  <si>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</si>
  <si>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</si>
  <si>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</si>
  <si>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</si>
  <si>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</si>
  <si>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</si>
  <si>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</si>
  <si>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</si>
  <si>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</si>
  <si>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</si>
  <si>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</si>
  <si>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</si>
  <si>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</si>
  <si>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</si>
  <si>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</si>
  <si>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</si>
  <si>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</si>
  <si>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</si>
  <si>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</si>
  <si>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</si>
  <si>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</si>
  <si>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</si>
  <si>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</si>
  <si>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</si>
  <si>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</si>
  <si>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</si>
  <si>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</si>
  <si>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</si>
  <si>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</si>
  <si>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</si>
  <si>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</si>
  <si>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</si>
  <si>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</si>
  <si>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</si>
  <si>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</si>
  <si>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</si>
  <si>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</si>
  <si>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</si>
  <si>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</si>
  <si>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</si>
  <si>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</si>
  <si>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</si>
  <si>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</si>
  <si>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</si>
  <si>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</si>
  <si>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</si>
  <si>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</si>
  <si>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</si>
  <si>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</si>
  <si>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</si>
  <si>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</si>
  <si>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</si>
  <si>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</si>
  <si>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</si>
  <si>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</si>
  <si>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</si>
  <si>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</si>
  <si>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</si>
  <si>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</si>
  <si>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</si>
  <si>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</si>
  <si>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</si>
  <si>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</si>
  <si>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</si>
  <si>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</si>
  <si>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</si>
  <si>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</si>
  <si>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</si>
  <si>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</si>
  <si>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</si>
  <si>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</si>
  <si>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</si>
  <si>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</si>
  <si>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</si>
  <si>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</si>
  <si>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</si>
  <si>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</si>
  <si>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</si>
  <si>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</si>
  <si>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</si>
  <si>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</si>
  <si>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</si>
  <si>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</si>
  <si>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</si>
  <si>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</si>
  <si>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</si>
  <si>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</si>
  <si>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</si>
  <si>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</si>
  <si>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</si>
  <si>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</si>
  <si>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</si>
  <si>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</si>
  <si>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</si>
  <si>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</si>
  <si>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</si>
  <si>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</si>
  <si>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</si>
  <si>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</si>
  <si>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</si>
  <si>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</si>
  <si>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</si>
  <si>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</si>
  <si>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</si>
  <si>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</si>
  <si>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</si>
  <si>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</si>
  <si>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</si>
  <si>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</si>
  <si>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</si>
  <si>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</si>
  <si>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</si>
  <si>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</si>
  <si>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</si>
  <si>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</si>
  <si>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</si>
  <si>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</si>
  <si>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</si>
  <si>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</si>
  <si>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</si>
  <si>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</si>
  <si>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</si>
  <si>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</si>
  <si>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</si>
  <si>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</si>
  <si>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</si>
  <si>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</si>
  <si>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</si>
  <si>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</si>
  <si>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</si>
  <si>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</si>
  <si>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</si>
  <si>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</si>
  <si>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</si>
  <si>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</si>
  <si>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</si>
  <si>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</si>
  <si>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</si>
  <si>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</si>
  <si>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</si>
  <si>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</si>
  <si>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</si>
  <si>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</si>
  <si>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</si>
  <si>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</si>
  <si>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</si>
  <si>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</si>
  <si>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</si>
  <si>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</si>
  <si>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</si>
  <si>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</si>
  <si>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</si>
  <si>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</si>
  <si>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</si>
  <si>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</si>
  <si>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</si>
  <si>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</si>
  <si>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</si>
  <si>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</si>
  <si>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</si>
  <si>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</si>
  <si>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</si>
  <si>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</si>
  <si>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</si>
  <si>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</si>
  <si>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</si>
  <si>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</si>
  <si>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</si>
  <si>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</si>
  <si>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</si>
  <si>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</si>
  <si>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</si>
  <si>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</si>
  <si>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</si>
  <si>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</si>
  <si>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</si>
  <si>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</si>
  <si>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</si>
  <si>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</si>
  <si>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</si>
  <si>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</si>
  <si>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</si>
  <si>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</si>
  <si>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</si>
  <si>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</si>
  <si>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</si>
  <si>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</si>
  <si>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</si>
  <si>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</si>
  <si>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</si>
  <si>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</si>
  <si>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</si>
  <si>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</si>
  <si>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</si>
  <si>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</si>
  <si>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</si>
  <si>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</si>
  <si>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</si>
  <si>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</si>
  <si>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</si>
  <si>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</si>
  <si>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</si>
  <si>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</si>
  <si>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</si>
  <si>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</si>
  <si>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</si>
  <si>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</si>
  <si>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</si>
  <si>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</si>
  <si>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</si>
  <si>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</si>
  <si>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</si>
  <si>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</si>
  <si>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</si>
  <si>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</si>
  <si>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</si>
  <si>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</si>
  <si>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</si>
  <si>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</si>
  <si>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</si>
  <si>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</si>
  <si>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</si>
  <si>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</si>
  <si>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</si>
  <si>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</si>
  <si>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</si>
  <si>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</si>
  <si>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</si>
  <si>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</si>
  <si>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</si>
  <si>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</si>
  <si>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</si>
  <si>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</si>
  <si>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</si>
  <si>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</si>
  <si>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</si>
  <si>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</si>
  <si>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</si>
  <si>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</si>
  <si>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</si>
  <si>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</si>
  <si>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</si>
  <si>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</si>
  <si>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</si>
  <si>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</si>
  <si>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</si>
  <si>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</si>
  <si>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</si>
  <si>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</si>
  <si>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</si>
  <si>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</si>
  <si>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</si>
  <si>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</si>
  <si>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</si>
  <si>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</si>
  <si>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</si>
  <si>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</si>
  <si>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</si>
  <si>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</si>
  <si>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</si>
  <si>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</si>
  <si>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</si>
  <si>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</si>
  <si>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</si>
  <si>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</si>
  <si>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</si>
  <si>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</si>
  <si>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</si>
  <si>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</si>
  <si>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</si>
  <si>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</si>
  <si>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</si>
  <si>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</si>
  <si>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</si>
  <si>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</si>
  <si>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</si>
  <si>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</si>
  <si>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</si>
  <si>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</si>
  <si>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</si>
  <si>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</si>
  <si>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</si>
  <si>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</si>
  <si>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</si>
  <si>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</si>
  <si>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</si>
  <si>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</si>
  <si>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</si>
  <si>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</si>
  <si>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</si>
  <si>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</si>
  <si>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</si>
  <si>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</si>
  <si>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</si>
  <si>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</si>
  <si>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</si>
  <si>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</si>
  <si>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</si>
  <si>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</si>
  <si>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</si>
  <si>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</si>
  <si>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</si>
  <si>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</si>
  <si>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</si>
  <si>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</si>
  <si>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</si>
  <si>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</si>
  <si>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</si>
  <si>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</si>
  <si>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</si>
  <si>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</si>
  <si>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</si>
  <si>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</si>
  <si>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</si>
  <si>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</si>
  <si>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</si>
  <si>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</si>
  <si>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</si>
  <si>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</si>
  <si>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</si>
  <si>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</si>
  <si>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</si>
  <si>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</si>
  <si>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</si>
  <si>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</si>
  <si>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</si>
  <si>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</si>
  <si>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</si>
  <si>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</si>
  <si>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</si>
  <si>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</si>
  <si>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</si>
  <si>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</si>
  <si>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</si>
  <si>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</si>
  <si>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</si>
  <si>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</si>
  <si>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</si>
  <si>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</si>
  <si>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</si>
  <si>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</si>
  <si>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</si>
  <si>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</si>
  <si>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</si>
  <si>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</si>
  <si>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</si>
  <si>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</si>
  <si>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</si>
  <si>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</si>
  <si>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</si>
  <si>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</si>
  <si>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</si>
  <si>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</si>
  <si>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</si>
  <si>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</si>
  <si>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</si>
  <si>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</si>
  <si>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</si>
  <si>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</si>
  <si>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</si>
  <si>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</si>
  <si>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</si>
  <si>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</si>
  <si>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</si>
  <si>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</si>
  <si>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</si>
  <si>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</si>
  <si>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</si>
  <si>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</si>
  <si>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</si>
  <si>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</si>
  <si>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</si>
  <si>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</si>
  <si>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</si>
  <si>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</si>
  <si>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</si>
  <si>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</si>
  <si>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</si>
  <si>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</si>
  <si>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</si>
  <si>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</si>
  <si>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</si>
  <si>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</si>
  <si>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</si>
  <si>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</si>
  <si>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</si>
  <si>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</si>
  <si>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</si>
  <si>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</si>
  <si>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</si>
  <si>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</si>
  <si>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</si>
  <si>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</si>
  <si>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</si>
  <si>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</si>
  <si>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</si>
  <si>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</si>
  <si>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</si>
  <si>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</si>
  <si>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</si>
  <si>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</si>
  <si>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</si>
  <si>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</si>
  <si>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</si>
  <si>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</si>
  <si>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</si>
  <si>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</si>
  <si>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</si>
  <si>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</si>
  <si>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</si>
  <si>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</si>
  <si>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</si>
  <si>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</si>
  <si>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</si>
  <si>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</si>
  <si>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</si>
  <si>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</si>
  <si>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</si>
  <si>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</si>
  <si>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</si>
  <si>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</si>
  <si>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</si>
  <si>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</si>
  <si>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</si>
  <si>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</si>
  <si>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</si>
  <si>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</si>
  <si>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</si>
  <si>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</si>
  <si>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</si>
  <si>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</si>
  <si>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</si>
  <si>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</si>
  <si>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</si>
  <si>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</si>
  <si>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</si>
  <si>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</si>
  <si>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</si>
  <si>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</si>
  <si>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</si>
  <si>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</si>
  <si>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</si>
  <si>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</si>
  <si>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</si>
  <si>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</si>
  <si>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</si>
  <si>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</si>
  <si>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</si>
  <si>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</si>
  <si>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</si>
  <si>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</si>
  <si>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</si>
  <si>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</si>
  <si>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</si>
  <si>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</si>
  <si>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</si>
  <si>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</si>
  <si>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</si>
  <si>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</si>
  <si>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</si>
  <si>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</si>
  <si>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</si>
  <si>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</si>
  <si>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</si>
  <si>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</si>
  <si>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</si>
  <si>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</si>
  <si>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</si>
  <si>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</si>
  <si>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</si>
  <si>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</si>
  <si>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</si>
  <si>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</si>
  <si>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</si>
  <si>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</si>
  <si>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</si>
  <si>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</si>
  <si>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</si>
  <si>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</si>
  <si>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</si>
  <si>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</si>
  <si>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</si>
  <si>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</si>
  <si>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</si>
  <si>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</si>
  <si>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</si>
  <si>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</si>
  <si>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</si>
  <si>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</si>
  <si>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</si>
  <si>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</si>
  <si>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</si>
  <si>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</si>
  <si>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</si>
  <si>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</si>
  <si>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</si>
  <si>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</si>
  <si>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</si>
  <si>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</si>
  <si>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</si>
  <si>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</si>
  <si>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</si>
  <si>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</si>
  <si>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</si>
  <si>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</si>
  <si>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</si>
  <si>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</si>
  <si>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</si>
  <si>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</si>
  <si>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</si>
  <si>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</si>
  <si>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</si>
  <si>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</si>
  <si>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</si>
  <si>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</si>
  <si>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</si>
  <si>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</si>
  <si>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</si>
  <si>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</si>
  <si>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</si>
  <si>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</si>
  <si>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</si>
  <si>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</si>
  <si>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</si>
  <si>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</si>
  <si>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</si>
  <si>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</si>
  <si>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</si>
  <si>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</si>
  <si>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</si>
  <si>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</si>
  <si>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</si>
  <si>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</si>
  <si>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</si>
  <si>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</si>
  <si>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</si>
  <si>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</si>
  <si>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</si>
  <si>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</si>
  <si>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</si>
  <si>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</si>
  <si>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</si>
  <si>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</si>
  <si>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</si>
  <si>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</si>
  <si>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</si>
  <si>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</si>
  <si>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</si>
  <si>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</si>
  <si>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</si>
  <si>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</si>
  <si>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</si>
  <si>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</si>
  <si>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</si>
  <si>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</si>
  <si>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</si>
  <si>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</si>
  <si>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</si>
  <si>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</si>
  <si>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</si>
  <si>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</si>
  <si>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</si>
  <si>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</si>
  <si>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</si>
  <si>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</si>
  <si>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</si>
  <si>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</si>
  <si>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</si>
  <si>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</si>
  <si>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</si>
  <si>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</si>
  <si>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</si>
  <si>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</si>
  <si>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</si>
  <si>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</si>
  <si>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</si>
  <si>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</si>
  <si>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</si>
  <si>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</si>
  <si>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</si>
  <si>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</si>
  <si>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</si>
  <si>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</si>
  <si>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</si>
  <si>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</si>
  <si>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</si>
  <si>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</si>
  <si>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</si>
  <si>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</si>
  <si>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</si>
  <si>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</si>
  <si>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</si>
  <si>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</si>
  <si>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</si>
  <si>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</si>
  <si>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</si>
  <si>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</si>
  <si>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</si>
  <si>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</si>
  <si>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</si>
  <si>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</si>
  <si>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</si>
  <si>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</si>
  <si>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</si>
  <si>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</si>
  <si>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</si>
  <si>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</si>
  <si>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</si>
  <si>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</si>
  <si>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</si>
  <si>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</si>
  <si>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</si>
  <si>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</si>
  <si>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</si>
  <si>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</si>
  <si>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</si>
  <si>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</si>
  <si>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</si>
  <si>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</si>
  <si>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</si>
  <si>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</si>
  <si>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</si>
  <si>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</si>
  <si>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</si>
  <si>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</si>
  <si>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</si>
  <si>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</si>
  <si>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</si>
  <si>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</si>
  <si>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</si>
  <si>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</si>
  <si>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</si>
  <si>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</si>
  <si>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</si>
  <si>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</si>
  <si>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</si>
  <si>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</si>
  <si>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</si>
  <si>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</si>
  <si>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</si>
  <si>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</si>
  <si>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</si>
  <si>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</si>
  <si>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</si>
  <si>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</si>
  <si>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</si>
  <si>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</si>
  <si>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</si>
  <si>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</si>
  <si>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</si>
  <si>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</si>
  <si>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</si>
  <si>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</si>
  <si>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</si>
  <si>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</si>
  <si>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</si>
  <si>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</si>
  <si>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</si>
  <si>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</si>
  <si>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</si>
  <si>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</si>
  <si>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</si>
  <si>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</si>
  <si>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</si>
  <si>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</si>
  <si>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</si>
  <si>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</si>
  <si>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</si>
  <si>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</si>
  <si>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</si>
  <si>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</si>
  <si>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</si>
  <si>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</si>
  <si>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</si>
  <si>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</si>
  <si>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</si>
  <si>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</si>
  <si>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</si>
  <si>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</si>
  <si>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</si>
  <si>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</si>
  <si>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</si>
  <si>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</si>
  <si>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</si>
  <si>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</si>
  <si>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</si>
  <si>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</si>
  <si>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</si>
  <si>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</si>
  <si>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</si>
  <si>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</si>
  <si>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</si>
  <si>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</si>
  <si>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</si>
  <si>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</si>
  <si>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</si>
  <si>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</si>
  <si>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</si>
  <si>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</si>
  <si>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</si>
  <si>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</si>
  <si>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</si>
  <si>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</si>
  <si>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</si>
  <si>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</si>
  <si>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</si>
  <si>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</si>
  <si>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</si>
  <si>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</si>
  <si>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</si>
  <si>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</si>
  <si>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</si>
  <si>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</si>
  <si>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</si>
  <si>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</si>
  <si>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</si>
  <si>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</si>
  <si>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</si>
  <si>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</si>
  <si>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</si>
  <si>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</si>
  <si>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</si>
  <si>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</si>
  <si>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</si>
  <si>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</si>
  <si>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</si>
  <si>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</si>
  <si>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</si>
  <si>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</si>
  <si>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</si>
  <si>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</si>
  <si>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</si>
  <si>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</si>
  <si>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</si>
  <si>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</si>
  <si>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</si>
  <si>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</si>
  <si>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</si>
  <si>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</si>
  <si>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</si>
  <si>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</si>
  <si>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</si>
  <si>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</si>
  <si>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</si>
  <si>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</si>
  <si>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</si>
  <si>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</si>
  <si>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</si>
  <si>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</si>
  <si>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</si>
  <si>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</si>
  <si>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</si>
  <si>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</si>
  <si>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</si>
  <si>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</si>
  <si>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</si>
  <si>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</si>
  <si>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</si>
  <si>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</si>
  <si>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</si>
  <si>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</si>
  <si>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</si>
  <si>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</si>
  <si>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</si>
  <si>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</si>
  <si>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</si>
  <si>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</si>
  <si>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</si>
  <si>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</si>
  <si>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</si>
  <si>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</si>
  <si>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</si>
  <si>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</si>
  <si>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</si>
  <si>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</si>
  <si>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</si>
  <si>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</si>
  <si>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</si>
  <si>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</si>
  <si>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</si>
  <si>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</si>
  <si>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</si>
  <si>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</si>
  <si>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</si>
  <si>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</si>
  <si>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</si>
  <si>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</si>
  <si>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</si>
  <si>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</si>
  <si>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</si>
  <si>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</si>
  <si>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</si>
  <si>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</si>
  <si>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</si>
  <si>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</si>
  <si>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</si>
  <si>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</si>
  <si>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</si>
  <si>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</si>
  <si>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</si>
  <si>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</si>
  <si>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</si>
  <si>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</si>
  <si>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</si>
  <si>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</si>
  <si>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</si>
  <si>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</si>
  <si>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</si>
  <si>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</si>
  <si>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</si>
  <si>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</si>
  <si>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</si>
  <si>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</si>
  <si>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</si>
  <si>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</si>
  <si>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</si>
  <si>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</si>
  <si>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</si>
  <si>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</si>
  <si>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</si>
  <si>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</si>
  <si>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</si>
  <si>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</si>
  <si>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</si>
  <si>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</si>
  <si>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</si>
  <si>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</si>
  <si>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</si>
  <si>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</si>
  <si>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</si>
  <si>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</si>
  <si>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</si>
  <si>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</si>
  <si>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</si>
  <si>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</si>
  <si>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</si>
  <si>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</si>
  <si>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</si>
  <si>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</si>
  <si>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</si>
  <si>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</si>
  <si>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</si>
  <si>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</si>
  <si>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</si>
  <si>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</si>
  <si>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</si>
  <si>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</si>
  <si>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</si>
  <si>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</si>
  <si>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</si>
  <si>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</si>
  <si>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</si>
  <si>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</si>
  <si>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</si>
  <si>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</si>
  <si>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</si>
  <si>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</si>
  <si>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</si>
  <si>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</si>
  <si>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</si>
  <si>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</si>
  <si>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</si>
  <si>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</si>
  <si>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</si>
  <si>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</si>
  <si>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</si>
  <si>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</si>
  <si>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</si>
  <si>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</si>
  <si>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</si>
  <si>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</si>
  <si>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</si>
  <si>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</si>
  <si>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</si>
  <si>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</si>
  <si>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</si>
  <si>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</si>
  <si>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</si>
  <si>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</si>
  <si>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</si>
  <si>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</si>
  <si>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</si>
  <si>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</si>
  <si>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</si>
  <si>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</si>
  <si>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</si>
  <si>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</si>
  <si>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</si>
  <si>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</si>
  <si>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</si>
  <si>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</si>
  <si>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</si>
  <si>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</si>
  <si>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</si>
  <si>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</si>
  <si>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</si>
  <si>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</si>
  <si>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</si>
  <si>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</si>
  <si>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</si>
  <si>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</si>
  <si>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</si>
  <si>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</si>
  <si>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</si>
  <si>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</si>
  <si>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</si>
  <si>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</si>
  <si>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</si>
  <si>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</si>
  <si>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</si>
  <si>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</si>
  <si>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</si>
  <si>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</si>
  <si>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</si>
  <si>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</si>
  <si>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</si>
  <si>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</si>
  <si>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</si>
  <si>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</si>
  <si>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</si>
  <si>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</si>
  <si>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</si>
  <si>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</si>
  <si>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</si>
  <si>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</si>
  <si>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</si>
  <si>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</si>
  <si>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</si>
  <si>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</si>
  <si>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</si>
  <si>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</si>
  <si>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</si>
  <si>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</si>
  <si>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</si>
  <si>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</si>
  <si>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</si>
  <si>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</si>
  <si>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</si>
  <si>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</si>
  <si>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</si>
  <si>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</si>
  <si>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</si>
  <si>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</si>
  <si>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</si>
  <si>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</si>
  <si>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</si>
  <si>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</si>
  <si>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</si>
  <si>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</si>
  <si>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</si>
  <si>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</si>
  <si>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</si>
  <si>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</si>
  <si>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</si>
  <si>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</si>
  <si>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</si>
  <si>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</si>
  <si>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</si>
  <si>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</si>
  <si>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</si>
  <si>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</si>
  <si>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</si>
  <si>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</si>
  <si>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</si>
  <si>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</si>
  <si>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</si>
  <si>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</si>
  <si>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</si>
  <si>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</si>
  <si>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</si>
  <si>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</si>
  <si>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</si>
  <si>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</si>
  <si>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</si>
  <si>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</si>
  <si>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</si>
  <si>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</si>
  <si>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</si>
  <si>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</si>
  <si>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</si>
  <si>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</si>
  <si>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</si>
  <si>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</si>
  <si>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</si>
  <si>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</si>
  <si>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</si>
  <si>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</si>
  <si>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</si>
  <si>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</si>
  <si>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</si>
  <si>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</si>
  <si>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</si>
  <si>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</si>
  <si>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</si>
  <si>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</si>
  <si>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</si>
  <si>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</si>
  <si>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</si>
  <si>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</si>
  <si>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</si>
  <si>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</si>
  <si>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</si>
  <si>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</si>
  <si>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</si>
  <si>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</si>
  <si>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</si>
  <si>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</si>
  <si>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</si>
  <si>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</si>
  <si>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</si>
  <si>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</si>
  <si>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</si>
  <si>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</si>
  <si>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</si>
  <si>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</si>
  <si>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</si>
  <si>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</si>
  <si>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</si>
  <si>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</si>
  <si>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</si>
  <si>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</si>
  <si>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</si>
  <si>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</si>
  <si>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</si>
  <si>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</si>
  <si>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</si>
  <si>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</si>
  <si>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</si>
  <si>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</si>
  <si>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</si>
  <si>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</si>
  <si>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</si>
  <si>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</si>
  <si>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</si>
  <si>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</si>
  <si>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</si>
  <si>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</si>
  <si>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</si>
  <si>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</si>
  <si>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</si>
  <si>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</si>
  <si>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</si>
  <si>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</si>
  <si>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</si>
  <si>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</si>
  <si>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</si>
  <si>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</si>
  <si>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</si>
  <si>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</si>
  <si>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</si>
  <si>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</si>
  <si>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</si>
  <si>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</si>
  <si>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</si>
  <si>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</si>
  <si>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</si>
  <si>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</si>
  <si>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</si>
  <si>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</si>
  <si>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</si>
  <si>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</si>
  <si>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</si>
  <si>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</si>
  <si>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</si>
  <si>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</si>
  <si>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</si>
  <si>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</si>
  <si>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</si>
  <si>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</si>
  <si>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</si>
  <si>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</si>
  <si>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</si>
  <si>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</si>
  <si>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</si>
  <si>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</si>
  <si>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</si>
  <si>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</si>
  <si>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</si>
  <si>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</si>
  <si>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</si>
  <si>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</si>
  <si>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</si>
  <si>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</si>
  <si>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</si>
  <si>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</si>
  <si>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</si>
  <si>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</si>
  <si>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</si>
  <si>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</si>
  <si>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</si>
  <si>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</si>
  <si>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</si>
  <si>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</si>
  <si>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</si>
  <si>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</si>
  <si>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</si>
  <si>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</si>
  <si>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</si>
  <si>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</si>
  <si>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</si>
  <si>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</si>
  <si>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</si>
  <si>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</si>
  <si>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</si>
  <si>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</si>
  <si>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</si>
  <si>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</si>
  <si>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</si>
  <si>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</si>
  <si>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</si>
  <si>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</si>
  <si>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</si>
  <si>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</si>
  <si>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</si>
  <si>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</si>
  <si>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</si>
  <si>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</si>
  <si>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</si>
  <si>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</si>
  <si>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</si>
  <si>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</si>
  <si>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</si>
  <si>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</si>
  <si>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</si>
  <si>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</si>
  <si>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</si>
  <si>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</si>
  <si>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</si>
  <si>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</si>
  <si>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</si>
  <si>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</si>
  <si>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</si>
  <si>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</si>
  <si>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</si>
  <si>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</si>
  <si>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</si>
  <si>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</si>
  <si>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</si>
  <si>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</si>
  <si>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</si>
  <si>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</si>
  <si>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</si>
  <si>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</si>
  <si>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</si>
  <si>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</si>
  <si>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</si>
  <si>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</si>
  <si>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</si>
  <si>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</si>
  <si>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</si>
  <si>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</si>
  <si>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</si>
  <si>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</si>
  <si>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</si>
  <si>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</si>
  <si>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</si>
  <si>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</si>
  <si>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</si>
  <si>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</si>
  <si>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</si>
  <si>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</si>
  <si>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</si>
  <si>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</si>
  <si>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</si>
  <si>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</si>
  <si>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</si>
  <si>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</si>
  <si>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</si>
  <si>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</si>
  <si>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</si>
  <si>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</si>
  <si>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</si>
  <si>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</si>
  <si>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</si>
  <si>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</si>
  <si>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</si>
  <si>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</si>
  <si>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</si>
  <si>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</si>
  <si>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</si>
  <si>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</si>
  <si>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</si>
  <si>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</si>
  <si>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</si>
  <si>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</si>
  <si>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</si>
  <si>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</si>
  <si>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</si>
  <si>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</si>
  <si>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</si>
  <si>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</si>
  <si>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</si>
  <si>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</si>
  <si>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</si>
  <si>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</si>
  <si>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</si>
  <si>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</si>
  <si>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</si>
  <si>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</si>
  <si>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</si>
  <si>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</si>
  <si>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</si>
  <si>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</si>
  <si>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</si>
  <si>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</si>
  <si>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</si>
  <si>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</si>
  <si>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</si>
  <si>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</si>
  <si>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</si>
  <si>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</si>
  <si>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</si>
  <si>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</si>
  <si>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</si>
  <si>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</si>
  <si>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</si>
  <si>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</si>
  <si>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</si>
  <si>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</si>
  <si>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</si>
  <si>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</si>
  <si>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</si>
  <si>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</si>
  <si>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</si>
  <si>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</si>
  <si>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</si>
  <si>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</si>
  <si>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</si>
  <si>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</si>
  <si>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</si>
  <si>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</si>
  <si>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</si>
  <si>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</si>
  <si>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</si>
  <si>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</si>
  <si>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</si>
  <si>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</si>
  <si>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</si>
  <si>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</si>
  <si>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</si>
  <si>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</si>
  <si>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</si>
  <si>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</si>
  <si>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</si>
  <si>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</si>
  <si>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</si>
  <si>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</si>
  <si>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</si>
  <si>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</si>
  <si>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</si>
  <si>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</si>
  <si>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</si>
  <si>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</si>
  <si>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</si>
  <si>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</si>
  <si>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</si>
  <si>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</si>
  <si>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</si>
  <si>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</si>
  <si>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</si>
  <si>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</si>
  <si>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</si>
  <si>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</si>
  <si>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</si>
  <si>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</si>
  <si>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</si>
  <si>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</si>
  <si>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</si>
  <si>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</si>
  <si>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</si>
  <si>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</si>
  <si>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</si>
  <si>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</si>
  <si>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</si>
  <si>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</si>
  <si>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</si>
  <si>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</si>
  <si>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</si>
  <si>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</si>
  <si>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</si>
  <si>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</si>
  <si>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</si>
  <si>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</si>
  <si>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</si>
  <si>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</si>
  <si>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</si>
  <si>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</si>
  <si>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</si>
  <si>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</si>
  <si>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</si>
  <si>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</si>
  <si>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</si>
  <si>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</si>
  <si>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</si>
  <si>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</si>
  <si>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</si>
  <si>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</si>
  <si>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</si>
  <si>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</si>
  <si>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</si>
  <si>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</si>
  <si>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</si>
  <si>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</si>
  <si>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</si>
  <si>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</si>
  <si>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</si>
  <si>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</si>
  <si>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</si>
  <si>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</si>
  <si>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</si>
  <si>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</si>
  <si>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</si>
  <si>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</si>
  <si>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</si>
  <si>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</si>
  <si>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</si>
  <si>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</si>
  <si>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</si>
  <si>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</si>
  <si>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</si>
  <si>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</si>
  <si>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</si>
  <si>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</si>
  <si>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</si>
  <si>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</si>
  <si>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</si>
  <si>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</si>
  <si>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</si>
  <si>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</si>
  <si>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</si>
  <si>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</si>
  <si>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</si>
  <si>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</si>
  <si>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</si>
  <si>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</si>
  <si>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</si>
  <si>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</si>
  <si>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</si>
  <si>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</si>
  <si>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</si>
  <si>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</si>
  <si>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</si>
  <si>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</si>
  <si>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</si>
  <si>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</si>
  <si>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</si>
  <si>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</si>
  <si>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</si>
  <si>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</si>
  <si>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</si>
  <si>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</si>
  <si>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</si>
  <si>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</si>
  <si>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</si>
  <si>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</si>
  <si>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</si>
  <si>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</si>
  <si>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</si>
  <si>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</si>
  <si>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</si>
  <si>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</si>
  <si>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</si>
  <si>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</si>
  <si>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</si>
  <si>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</si>
  <si>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</si>
  <si>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</si>
  <si>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</si>
  <si>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</si>
  <si>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</si>
  <si>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</si>
  <si>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</si>
  <si>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</si>
  <si>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</si>
  <si>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</si>
  <si>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</si>
  <si>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</si>
  <si>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</si>
  <si>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</si>
  <si>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</si>
  <si>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</si>
  <si>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</si>
  <si>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</si>
  <si>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</si>
  <si>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</si>
  <si>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</si>
  <si>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</si>
  <si>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</si>
  <si>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</si>
  <si>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</si>
  <si>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</si>
  <si>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</si>
  <si>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</si>
  <si>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</si>
  <si>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</si>
  <si>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</si>
  <si>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</si>
  <si>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</si>
  <si>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</si>
  <si>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</si>
  <si>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</si>
  <si>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</si>
  <si>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</si>
  <si>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</si>
  <si>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</si>
  <si>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</si>
  <si>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</si>
  <si>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</si>
  <si>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</si>
  <si>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</si>
  <si>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</si>
  <si>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</si>
  <si>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</si>
  <si>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</si>
  <si>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</si>
  <si>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</si>
  <si>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</si>
  <si>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</si>
  <si>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</si>
  <si>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</si>
  <si>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</si>
  <si>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</si>
  <si>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</si>
  <si>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</si>
  <si>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</si>
  <si>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</si>
  <si>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</si>
  <si>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</si>
  <si>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</si>
  <si>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</si>
  <si>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</si>
  <si>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</si>
  <si>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</si>
  <si>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</si>
  <si>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</si>
  <si>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</si>
  <si>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</si>
  <si>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</si>
  <si>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</si>
  <si>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</si>
  <si>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</si>
  <si>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</si>
  <si>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</si>
  <si>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</si>
  <si>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</si>
  <si>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</si>
  <si>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</si>
  <si>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</si>
  <si>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</si>
  <si>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</si>
  <si>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</si>
  <si>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</si>
  <si>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</si>
  <si>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</si>
  <si>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</si>
  <si>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</si>
  <si>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</si>
  <si>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</si>
  <si>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</si>
  <si>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</si>
  <si>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</si>
  <si>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</si>
  <si>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</si>
  <si>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</si>
  <si>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</si>
  <si>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</si>
  <si>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</si>
  <si>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</si>
  <si>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</si>
  <si>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</si>
  <si>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</si>
  <si>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</si>
  <si>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</si>
  <si>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</si>
  <si>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</si>
  <si>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</si>
  <si>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</si>
  <si>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</si>
  <si>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</si>
  <si>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</si>
  <si>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</si>
  <si>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</si>
  <si>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</si>
  <si>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</si>
  <si>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</si>
  <si>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</si>
  <si>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</si>
  <si>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</si>
  <si>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</si>
  <si>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</si>
  <si>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</si>
  <si>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</si>
  <si>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</si>
  <si>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</si>
  <si>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</si>
  <si>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</si>
  <si>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</si>
  <si>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</si>
  <si>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</si>
  <si>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</si>
  <si>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</si>
  <si>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</si>
  <si>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</si>
  <si>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</si>
  <si>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</si>
  <si>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</si>
  <si>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</si>
  <si>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</si>
  <si>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</si>
  <si>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</si>
  <si>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</si>
  <si>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</si>
  <si>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</si>
  <si>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</si>
  <si>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</si>
  <si>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</si>
  <si>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</si>
  <si>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</si>
  <si>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</si>
  <si>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</si>
  <si>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</si>
  <si>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</si>
  <si>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</si>
  <si>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</si>
  <si>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</si>
  <si>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</si>
  <si>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</si>
  <si>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</si>
  <si>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</si>
  <si>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</si>
  <si>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</si>
  <si>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</si>
  <si>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</si>
  <si>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</si>
  <si>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</si>
  <si>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</si>
  <si>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</si>
  <si>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</si>
  <si>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</si>
  <si>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</si>
  <si>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</si>
  <si>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</si>
  <si>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</si>
  <si>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</si>
  <si>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</si>
  <si>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</si>
  <si>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</si>
  <si>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</si>
  <si>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</si>
  <si>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</si>
  <si>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</si>
  <si>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</si>
  <si>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</si>
  <si>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</si>
  <si>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</si>
  <si>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</si>
  <si>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</si>
  <si>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</si>
  <si>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</si>
  <si>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</si>
  <si>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</si>
  <si>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</si>
  <si>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</si>
  <si>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</si>
  <si>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</si>
  <si>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</si>
  <si>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</si>
  <si>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</si>
  <si>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</si>
  <si>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</si>
  <si>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</si>
  <si>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</si>
  <si>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</si>
  <si>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</si>
  <si>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</si>
  <si>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</si>
  <si>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</si>
  <si>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</si>
  <si>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</si>
  <si>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</si>
  <si>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</si>
  <si>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</si>
  <si>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</si>
  <si>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</si>
  <si>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</si>
  <si>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</si>
  <si>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</si>
  <si>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</si>
  <si>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</si>
  <si>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</si>
  <si>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</si>
  <si>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</si>
  <si>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</si>
  <si>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</si>
  <si>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</si>
  <si>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</si>
  <si>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</si>
  <si>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</si>
  <si>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</si>
  <si>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</si>
  <si>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</si>
  <si>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</si>
  <si>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</si>
  <si>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</si>
  <si>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</si>
  <si>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</si>
  <si>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</si>
  <si>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</si>
  <si>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</si>
  <si>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</si>
  <si>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</si>
  <si>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</si>
  <si>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</si>
  <si>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</si>
  <si>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</si>
  <si>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</si>
  <si>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</si>
  <si>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</si>
  <si>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</si>
  <si>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</si>
  <si>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</si>
  <si>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</si>
  <si>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</si>
  <si>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</si>
  <si>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</si>
  <si>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</si>
  <si>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</si>
  <si>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</si>
  <si>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</si>
  <si>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</si>
  <si>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</si>
  <si>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</si>
  <si>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</si>
  <si>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</si>
  <si>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</si>
  <si>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</si>
  <si>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</si>
  <si>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</si>
  <si>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</si>
  <si>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</si>
  <si>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</si>
  <si>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</si>
  <si>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</si>
  <si>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</si>
  <si>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</si>
  <si>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</si>
  <si>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</si>
  <si>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</si>
  <si>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</si>
  <si>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</si>
  <si>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</si>
  <si>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</si>
  <si>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</si>
  <si>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</si>
  <si>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</si>
  <si>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</si>
  <si>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</si>
  <si>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</si>
  <si>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</si>
  <si>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</si>
  <si>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</si>
  <si>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</si>
  <si>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</si>
  <si>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</si>
  <si>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</si>
  <si>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</si>
  <si>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</si>
  <si>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</si>
  <si>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</si>
  <si>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</si>
  <si>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</si>
  <si>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</si>
  <si>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</si>
  <si>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</si>
  <si>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</si>
  <si>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</si>
  <si>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</si>
  <si>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</si>
  <si>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</si>
  <si>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</si>
  <si>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</si>
  <si>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</si>
  <si>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</si>
  <si>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</si>
  <si>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</si>
  <si>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</si>
  <si>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</si>
  <si>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</si>
  <si>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</si>
  <si>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</si>
  <si>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</si>
  <si>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</si>
  <si>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</si>
  <si>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</si>
  <si>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</si>
  <si>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</si>
  <si>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</si>
  <si>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</si>
  <si>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</si>
  <si>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</si>
  <si>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</si>
  <si>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</si>
  <si>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</si>
  <si>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</si>
  <si>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</si>
  <si>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</si>
  <si>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</si>
  <si>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</si>
  <si>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</si>
  <si>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</si>
  <si>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</si>
  <si>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</si>
  <si>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</si>
  <si>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</si>
  <si>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</si>
  <si>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</si>
  <si>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</si>
  <si>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</si>
  <si>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</si>
  <si>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</si>
  <si>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</si>
  <si>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</si>
  <si>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</si>
  <si>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</si>
  <si>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</si>
  <si>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</si>
  <si>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</si>
  <si>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</si>
  <si>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</si>
  <si>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</si>
  <si>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</si>
  <si>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</si>
  <si>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</si>
  <si>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</si>
  <si>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</si>
  <si>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</si>
  <si>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</si>
  <si>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</si>
  <si>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</si>
  <si>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</si>
  <si>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</si>
  <si>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</si>
  <si>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</si>
  <si>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</si>
  <si>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</si>
  <si>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</si>
  <si>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</si>
  <si>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</si>
  <si>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</si>
  <si>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</si>
  <si>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</si>
  <si>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</si>
  <si>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</si>
  <si>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</si>
  <si>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</si>
  <si>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</si>
  <si>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</si>
  <si>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</si>
  <si>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</si>
  <si>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</si>
  <si>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</si>
  <si>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</si>
  <si>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</si>
  <si>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</si>
  <si>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</si>
  <si>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</si>
  <si>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</si>
  <si>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</si>
  <si>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</si>
  <si>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</si>
  <si>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</si>
  <si>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</si>
  <si>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</si>
  <si>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</si>
  <si>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</si>
  <si>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</si>
  <si>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</si>
  <si>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</si>
  <si>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</si>
  <si>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</si>
  <si>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</si>
  <si>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</si>
  <si>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</si>
  <si>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</si>
  <si>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</si>
  <si>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</si>
  <si>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</si>
  <si>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</si>
  <si>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</si>
  <si>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</si>
  <si>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</si>
  <si>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</si>
  <si>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</si>
  <si>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</si>
  <si>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</si>
  <si>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</si>
  <si>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</si>
  <si>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</si>
  <si>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</si>
  <si>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</si>
  <si>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</si>
  <si>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</si>
  <si>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</si>
  <si>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</si>
  <si>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</si>
  <si>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</si>
  <si>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</si>
  <si>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</si>
  <si>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</si>
  <si>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</si>
  <si>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</si>
  <si>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</si>
  <si>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</si>
  <si>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</si>
  <si>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</si>
  <si>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</si>
  <si>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</si>
  <si>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</si>
  <si>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</si>
  <si>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</si>
  <si>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</si>
  <si>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</si>
  <si>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</si>
  <si>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</si>
  <si>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</si>
  <si>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</si>
  <si>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</si>
  <si>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</si>
  <si>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</si>
  <si>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</si>
  <si>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</si>
  <si>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</si>
  <si>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</si>
  <si>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</si>
  <si>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</si>
  <si>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</si>
  <si>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</si>
  <si>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</si>
  <si>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</si>
  <si>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</si>
  <si>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</si>
  <si>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</si>
  <si>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</si>
  <si>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</si>
  <si>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</si>
  <si>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</si>
  <si>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</si>
  <si>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</si>
  <si>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</si>
  <si>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</si>
  <si>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</si>
  <si>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</si>
  <si>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</si>
  <si>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</si>
  <si>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</si>
  <si>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</si>
  <si>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</si>
  <si>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</si>
  <si>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</si>
  <si>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</si>
  <si>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</si>
  <si>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</si>
  <si>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</si>
  <si>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</si>
  <si>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</si>
  <si>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</si>
  <si>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</si>
  <si>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</si>
  <si>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</si>
  <si>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</si>
  <si>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</si>
  <si>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</si>
  <si>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</si>
  <si>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</si>
  <si>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</si>
  <si>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</si>
  <si>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</si>
  <si>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</si>
  <si>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</si>
  <si>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</si>
  <si>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</si>
  <si>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</si>
  <si>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</si>
  <si>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</si>
  <si>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</si>
  <si>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</si>
  <si>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</si>
  <si>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</si>
  <si>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</si>
  <si>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</si>
  <si>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</si>
  <si>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</si>
  <si>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</si>
  <si>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</si>
  <si>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</si>
  <si>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</si>
  <si>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</si>
  <si>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</si>
  <si>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</si>
  <si>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</si>
  <si>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</si>
  <si>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</si>
  <si>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</si>
  <si>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</si>
  <si>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</si>
  <si>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</si>
  <si>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</si>
  <si>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</si>
  <si>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</si>
  <si>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</si>
  <si>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</si>
  <si>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</si>
  <si>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</si>
  <si>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</si>
  <si>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</si>
  <si>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</si>
  <si>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</si>
  <si>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</si>
  <si>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</si>
  <si>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</si>
  <si>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</si>
  <si>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</si>
  <si>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</si>
  <si>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</si>
  <si>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</si>
  <si>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</si>
  <si>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</si>
  <si>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</si>
  <si>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</si>
  <si>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</si>
  <si>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</si>
  <si>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</si>
  <si>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</si>
  <si>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</si>
  <si>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</si>
  <si>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</si>
  <si>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</si>
  <si>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</si>
  <si>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</si>
  <si>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</si>
  <si>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</si>
  <si>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</si>
  <si>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</si>
  <si>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</si>
  <si>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</si>
  <si>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</si>
  <si>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</si>
  <si>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</si>
  <si>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</si>
  <si>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</si>
  <si>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</si>
  <si>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</si>
  <si>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</si>
  <si>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</si>
  <si>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</si>
  <si>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</si>
  <si>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</si>
  <si>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</si>
  <si>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</si>
  <si>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</si>
  <si>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</si>
  <si>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</si>
  <si>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</si>
  <si>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</si>
  <si>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</si>
  <si>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</si>
  <si>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</si>
  <si>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</si>
  <si>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</si>
  <si>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</si>
  <si>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</si>
  <si>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</si>
  <si>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</si>
  <si>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</si>
  <si>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</si>
  <si>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</si>
  <si>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</si>
  <si>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</si>
  <si>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</si>
  <si>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</si>
  <si>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</si>
  <si>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</si>
  <si>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</si>
  <si>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</si>
  <si>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</si>
  <si>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</si>
  <si>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</si>
  <si>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</si>
  <si>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</si>
  <si>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</si>
  <si>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</si>
  <si>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</si>
  <si>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</si>
  <si>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</si>
  <si>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</si>
  <si>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</si>
  <si>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</si>
  <si>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</si>
  <si>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</si>
  <si>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</si>
  <si>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</si>
  <si>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</si>
  <si>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</si>
  <si>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</si>
  <si>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</si>
  <si>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</si>
  <si>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</si>
  <si>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</si>
  <si>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</si>
  <si>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</si>
  <si>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</si>
  <si>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</si>
  <si>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</si>
  <si>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</si>
  <si>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</si>
  <si>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</si>
  <si>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</si>
  <si>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</si>
  <si>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</si>
  <si>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</si>
  <si>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</si>
  <si>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</si>
  <si>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</si>
  <si>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</si>
  <si>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</si>
  <si>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</si>
  <si>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</si>
  <si>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</si>
  <si>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</si>
  <si>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</si>
  <si>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</si>
  <si>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</si>
  <si>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</si>
  <si>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</si>
  <si>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</si>
  <si>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</si>
  <si>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</si>
  <si>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</si>
  <si>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</si>
  <si>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</si>
  <si>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</si>
  <si>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</si>
  <si>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</si>
  <si>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</si>
  <si>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</si>
  <si>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</si>
  <si>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</si>
  <si>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</si>
  <si>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</si>
  <si>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</si>
  <si>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</si>
  <si>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</si>
  <si>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</si>
  <si>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</si>
  <si>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</si>
  <si>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</si>
  <si>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</si>
  <si>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</si>
  <si>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</si>
  <si>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</si>
  <si>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</si>
  <si>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</si>
  <si>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</si>
  <si>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</si>
  <si>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</si>
  <si>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</si>
  <si>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</si>
  <si>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</si>
  <si>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</si>
  <si>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</si>
  <si>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</si>
  <si>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</si>
  <si>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</si>
  <si>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</si>
  <si>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</si>
  <si>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</si>
  <si>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</si>
  <si>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</si>
  <si>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</si>
  <si>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</si>
  <si>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</si>
  <si>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</si>
  <si>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</si>
  <si>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</si>
  <si>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</si>
  <si>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</si>
  <si>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</si>
  <si>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</si>
  <si>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</si>
  <si>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</si>
  <si>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</si>
  <si>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</si>
  <si>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</si>
  <si>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</si>
  <si>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</si>
  <si>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</si>
  <si>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</si>
  <si>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</si>
  <si>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</si>
  <si>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</si>
  <si>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</si>
  <si>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</si>
  <si>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</si>
  <si>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</si>
  <si>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</si>
  <si>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</si>
  <si>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</si>
  <si>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</si>
  <si>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</si>
  <si>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</si>
  <si>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</si>
  <si>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</si>
  <si>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</si>
  <si>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</si>
  <si>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</si>
  <si>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</si>
  <si>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</si>
  <si>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</si>
  <si>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</si>
  <si>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</si>
  <si>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</si>
  <si>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</si>
  <si>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</si>
  <si>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</si>
  <si>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</si>
  <si>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</si>
  <si>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</si>
  <si>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</si>
  <si>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</si>
  <si>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</si>
  <si>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</si>
  <si>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</si>
  <si>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</si>
  <si>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</si>
  <si>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</si>
  <si>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</si>
  <si>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</si>
  <si>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</si>
  <si>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</si>
  <si>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</si>
  <si>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</si>
  <si>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</si>
  <si>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</si>
  <si>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</si>
  <si>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</si>
  <si>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</si>
  <si>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</si>
  <si>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</si>
  <si>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</si>
  <si>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</si>
  <si>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</si>
  <si>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</si>
  <si>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</si>
  <si>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</si>
  <si>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</si>
  <si>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</si>
  <si>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</si>
  <si>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</si>
  <si>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</si>
  <si>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</si>
  <si>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</si>
  <si>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</si>
  <si>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</si>
  <si>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</si>
  <si>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</si>
  <si>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</si>
  <si>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</si>
  <si>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</si>
  <si>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</si>
  <si>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</si>
  <si>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</si>
  <si>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</si>
  <si>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</si>
  <si>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</si>
  <si>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</si>
  <si>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</si>
  <si>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</si>
  <si>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</si>
  <si>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</si>
  <si>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</si>
  <si>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</si>
  <si>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</si>
  <si>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</si>
  <si>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</si>
  <si>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</si>
  <si>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</si>
  <si>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</si>
  <si>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</si>
  <si>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</si>
  <si>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</si>
  <si>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</si>
  <si>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</si>
  <si>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</si>
  <si>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</si>
  <si>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</si>
  <si>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</si>
  <si>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</si>
  <si>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</si>
  <si>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</si>
  <si>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</si>
  <si>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</si>
  <si>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</si>
  <si>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</si>
  <si>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</si>
  <si>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</si>
  <si>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</si>
  <si>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</si>
  <si>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</si>
  <si>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</si>
  <si>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</si>
  <si>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</si>
  <si>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</si>
  <si>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</si>
  <si>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</si>
  <si>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</si>
  <si>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</si>
  <si>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</si>
  <si>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</si>
  <si>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</si>
  <si>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</si>
  <si>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</si>
  <si>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</si>
  <si>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</si>
  <si>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</si>
  <si>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</si>
  <si>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</si>
  <si>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</si>
  <si>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</si>
  <si>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</si>
  <si>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</si>
  <si>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</si>
  <si>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</si>
  <si>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</si>
  <si>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</si>
  <si>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</si>
  <si>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</si>
  <si>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</si>
  <si>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</si>
  <si>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</si>
  <si>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</si>
  <si>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</si>
  <si>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</si>
  <si>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</si>
  <si>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</si>
  <si>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</si>
  <si>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</si>
  <si>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</si>
  <si>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</si>
  <si>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</si>
  <si>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</si>
  <si>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</si>
  <si>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</si>
  <si>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</si>
  <si>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</si>
  <si>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</si>
  <si>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</si>
  <si>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</si>
  <si>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</si>
  <si>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</si>
  <si>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</si>
  <si>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</si>
  <si>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</si>
  <si>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</si>
  <si>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</si>
  <si>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</si>
  <si>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</si>
  <si>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</si>
  <si>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</si>
  <si>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</si>
  <si>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</si>
  <si>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</si>
  <si>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</si>
  <si>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</si>
  <si>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</si>
  <si>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</si>
  <si>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</si>
  <si>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</si>
  <si>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</si>
  <si>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</si>
  <si>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</si>
  <si>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</si>
  <si>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</si>
  <si>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</si>
  <si>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</si>
  <si>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</si>
  <si>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</si>
  <si>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</si>
  <si>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</si>
  <si>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</si>
  <si>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</si>
  <si>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</si>
  <si>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</si>
  <si>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</si>
  <si>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</si>
  <si>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</si>
  <si>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</si>
  <si>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</si>
  <si>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</si>
  <si>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</si>
  <si>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</si>
  <si>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</si>
  <si>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</si>
  <si>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</si>
  <si>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</si>
  <si>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</si>
  <si>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</si>
  <si>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</si>
  <si>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</si>
  <si>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</si>
  <si>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</si>
  <si>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</si>
  <si>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</si>
  <si>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</si>
  <si>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</si>
  <si>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</si>
  <si>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</si>
  <si>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</si>
  <si>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</si>
  <si>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</si>
  <si>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</si>
  <si>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</si>
  <si>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</si>
  <si>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</si>
  <si>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</si>
  <si>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</si>
  <si>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</si>
  <si>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</si>
  <si>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</si>
  <si>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</si>
  <si>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</si>
  <si>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</si>
  <si>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</si>
  <si>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</si>
  <si>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</si>
  <si>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</si>
  <si>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</si>
  <si>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</si>
  <si>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</si>
  <si>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</si>
  <si>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</si>
  <si>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</si>
  <si>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</si>
  <si>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</si>
  <si>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</si>
  <si>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</si>
  <si>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</si>
  <si>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</si>
  <si>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</si>
  <si>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</si>
  <si>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</si>
  <si>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</si>
  <si>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</si>
  <si>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</si>
  <si>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</si>
  <si>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</si>
  <si>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</si>
  <si>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</si>
  <si>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</si>
  <si>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</si>
  <si>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</si>
  <si>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</si>
  <si>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</si>
  <si>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</si>
  <si>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</si>
  <si>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</si>
  <si>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</si>
  <si>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</si>
  <si>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</si>
  <si>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</si>
  <si>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</si>
  <si>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</si>
  <si>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</si>
  <si>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</si>
  <si>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</si>
  <si>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</si>
  <si>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</si>
  <si>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</si>
  <si>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</si>
  <si>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</si>
  <si>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</si>
  <si>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</si>
  <si>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</si>
  <si>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</si>
  <si>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</si>
  <si>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</si>
  <si>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</si>
  <si>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</si>
  <si>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</si>
  <si>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</si>
  <si>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</si>
  <si>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</si>
  <si>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</si>
  <si>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</si>
  <si>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</si>
  <si>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</si>
  <si>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</si>
  <si>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</si>
  <si>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</si>
  <si>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</si>
  <si>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</si>
  <si>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</si>
  <si>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</si>
  <si>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</si>
  <si>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</si>
  <si>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</si>
  <si>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</si>
  <si>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</si>
  <si>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</si>
  <si>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</si>
  <si>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</si>
  <si>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</si>
  <si>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</si>
  <si>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</si>
  <si>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</si>
  <si>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</si>
  <si>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</si>
  <si>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</si>
  <si>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</si>
  <si>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</si>
  <si>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</si>
  <si>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</si>
  <si>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</si>
  <si>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</si>
  <si>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</si>
  <si>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</si>
  <si>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</si>
  <si>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</si>
  <si>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</si>
  <si>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</si>
  <si>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</si>
  <si>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</si>
  <si>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</si>
  <si>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</si>
  <si>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</si>
  <si>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</si>
  <si>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</si>
  <si>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</si>
  <si>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</si>
  <si>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</si>
  <si>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</si>
  <si>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</si>
  <si>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</si>
  <si>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</si>
  <si>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</si>
  <si>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</si>
  <si>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</si>
  <si>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</si>
  <si>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</si>
  <si>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</si>
  <si>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</si>
  <si>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</si>
  <si>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</si>
  <si>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</si>
  <si>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</si>
  <si>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</si>
  <si>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</si>
  <si>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</si>
  <si>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</si>
  <si>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</si>
  <si>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</si>
  <si>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</si>
  <si>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</si>
  <si>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</si>
  <si>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</si>
  <si>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</si>
  <si>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</si>
  <si>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</si>
  <si>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</si>
  <si>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</si>
  <si>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</si>
  <si>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</si>
  <si>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</si>
  <si>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</si>
  <si>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</si>
  <si>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</si>
  <si>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</si>
  <si>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</si>
  <si>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</si>
  <si>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</si>
  <si>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</si>
  <si>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</si>
  <si>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</si>
  <si>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</si>
  <si>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</si>
  <si>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</si>
  <si>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</si>
  <si>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</si>
  <si>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</si>
  <si>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</si>
  <si>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</si>
  <si>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</si>
  <si>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</si>
  <si>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</si>
  <si>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</si>
  <si>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</si>
  <si>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</si>
  <si>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</si>
  <si>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</si>
  <si>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</si>
  <si>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</si>
  <si>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</si>
  <si>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</si>
  <si>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</si>
  <si>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</si>
  <si>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</si>
  <si>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</si>
  <si>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</si>
  <si>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</si>
  <si>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</si>
  <si>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</si>
  <si>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</si>
  <si>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</si>
  <si>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</si>
  <si>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</si>
  <si>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</si>
  <si>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</si>
  <si>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</si>
  <si>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</si>
  <si>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</si>
  <si>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</si>
  <si>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</si>
  <si>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</si>
  <si>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</si>
  <si>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</si>
  <si>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</si>
  <si>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</si>
  <si>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</si>
  <si>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</si>
  <si>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</si>
  <si>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</si>
  <si>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</si>
  <si>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</si>
  <si>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</si>
  <si>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</si>
  <si>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</si>
  <si>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</si>
  <si>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</si>
  <si>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</si>
  <si>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</si>
  <si>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</si>
  <si>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</si>
  <si>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</si>
  <si>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</si>
  <si>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</si>
  <si>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</si>
  <si>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</si>
  <si>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</si>
  <si>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</si>
  <si>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</si>
  <si>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</si>
  <si>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</si>
  <si>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</si>
  <si>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</si>
  <si>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</si>
  <si>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</si>
  <si>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</si>
  <si>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</si>
  <si>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</si>
  <si>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</si>
  <si>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</si>
  <si>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</si>
  <si>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</si>
  <si>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</si>
  <si>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</si>
  <si>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</si>
  <si>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</si>
  <si>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</si>
  <si>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</si>
  <si>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</si>
  <si>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</si>
  <si>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</si>
  <si>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</si>
  <si>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</si>
  <si>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</si>
  <si>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</si>
  <si>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</si>
  <si>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</si>
  <si>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</si>
  <si>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</si>
  <si>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</si>
  <si>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</si>
  <si>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</si>
  <si>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</si>
  <si>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</si>
  <si>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</si>
  <si>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</si>
  <si>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</si>
  <si>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</si>
  <si>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</si>
  <si>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</si>
  <si>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</si>
  <si>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</si>
  <si>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</si>
  <si>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</si>
  <si>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</si>
  <si>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</si>
  <si>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</si>
  <si>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</si>
  <si>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</si>
  <si>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</si>
  <si>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</si>
  <si>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</si>
  <si>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</si>
  <si>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</si>
  <si>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</si>
  <si>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</si>
  <si>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</si>
  <si>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</si>
  <si>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</si>
  <si>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</si>
  <si>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</si>
  <si>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</si>
  <si>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</si>
  <si>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</si>
  <si>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</si>
  <si>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</si>
  <si>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</si>
  <si>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</si>
  <si>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</si>
  <si>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</si>
  <si>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</si>
  <si>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</si>
  <si>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</si>
  <si>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</si>
  <si>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</si>
  <si>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</si>
  <si>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</si>
  <si>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</si>
  <si>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</si>
  <si>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</si>
  <si>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</si>
  <si>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</si>
  <si>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</si>
  <si>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</si>
  <si>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</si>
  <si>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</si>
  <si>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</si>
  <si>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</si>
  <si>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</si>
  <si>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</si>
  <si>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</si>
  <si>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</si>
  <si>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</si>
  <si>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</si>
  <si>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</si>
  <si>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</si>
  <si>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</si>
  <si>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</si>
  <si>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</si>
  <si>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</si>
  <si>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</si>
  <si>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</si>
  <si>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</si>
  <si>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</si>
  <si>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</si>
  <si>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</si>
  <si>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</si>
  <si>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</si>
  <si>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</si>
  <si>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</si>
  <si>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</si>
  <si>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</si>
  <si>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</si>
  <si>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</si>
  <si>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</si>
  <si>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</si>
  <si>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</si>
  <si>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</si>
  <si>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</si>
  <si>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</si>
  <si>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</si>
  <si>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</si>
  <si>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</si>
  <si>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</si>
  <si>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</si>
  <si>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</si>
  <si>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</si>
  <si>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</si>
  <si>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</si>
  <si>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</si>
  <si>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</si>
  <si>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</si>
  <si>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</si>
  <si>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</si>
  <si>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</si>
  <si>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</si>
  <si>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</si>
  <si>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</si>
  <si>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</si>
  <si>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</si>
  <si>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</si>
  <si>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</si>
  <si>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</si>
  <si>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</si>
  <si>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</si>
  <si>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</si>
  <si>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</si>
  <si>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</si>
  <si>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</si>
  <si>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</si>
  <si>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</si>
  <si>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</si>
  <si>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</si>
  <si>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</si>
  <si>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</si>
  <si>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</si>
  <si>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</si>
  <si>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</si>
  <si>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</si>
  <si>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</si>
  <si>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</si>
  <si>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</si>
  <si>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</si>
  <si>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</si>
  <si>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</si>
  <si>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</si>
  <si>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</si>
  <si>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</si>
  <si>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</si>
  <si>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</si>
  <si>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</si>
  <si>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</si>
  <si>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</si>
  <si>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</si>
  <si>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</si>
  <si>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</si>
  <si>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</si>
  <si>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</si>
  <si>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</si>
  <si>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</si>
  <si>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</si>
  <si>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</si>
  <si>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</si>
  <si>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</si>
  <si>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</si>
  <si>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</si>
  <si>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</si>
  <si>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</si>
  <si>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</si>
  <si>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</si>
  <si>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</si>
  <si>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</si>
  <si>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</si>
  <si>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</si>
  <si>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</si>
  <si>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</si>
  <si>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</si>
  <si>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</si>
  <si>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</si>
  <si>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</si>
  <si>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</si>
  <si>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</si>
  <si>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</si>
  <si>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</si>
  <si>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</si>
  <si>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</si>
  <si>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</si>
  <si>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</si>
  <si>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</si>
  <si>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</si>
  <si>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</si>
  <si>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</si>
  <si>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</si>
  <si>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</si>
  <si>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</si>
  <si>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</si>
  <si>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</si>
  <si>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</si>
  <si>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</si>
  <si>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</si>
  <si>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</si>
  <si>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</si>
  <si>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</si>
  <si>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</si>
  <si>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</si>
  <si>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</si>
  <si>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</si>
  <si>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</si>
  <si>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</si>
  <si>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</si>
  <si>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</si>
  <si>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</si>
  <si>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</si>
  <si>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</si>
  <si>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</si>
  <si>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</si>
  <si>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</si>
  <si>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</si>
  <si>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</si>
  <si>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</si>
  <si>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</si>
  <si>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</si>
  <si>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</si>
  <si>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</si>
  <si>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</si>
  <si>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</si>
  <si>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</si>
  <si>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</si>
  <si>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</si>
  <si>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</si>
  <si>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</si>
  <si>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</si>
  <si>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</si>
  <si>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</si>
  <si>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</si>
  <si>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</si>
  <si>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</si>
  <si>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</si>
  <si>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</si>
  <si>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</si>
  <si>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</si>
  <si>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</si>
  <si>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</si>
  <si>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</si>
  <si>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</si>
  <si>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</si>
  <si>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</si>
  <si>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</si>
  <si>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</si>
  <si>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</si>
  <si>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</si>
  <si>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</si>
  <si>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</si>
  <si>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</si>
  <si>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</si>
  <si>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</si>
  <si>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</si>
  <si>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</si>
  <si>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</si>
  <si>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</si>
  <si>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</si>
  <si>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</si>
  <si>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</si>
  <si>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</si>
  <si>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</si>
  <si>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</si>
  <si>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</si>
  <si>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</si>
  <si>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</si>
  <si>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</si>
  <si>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</si>
  <si>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</si>
  <si>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</si>
  <si>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</si>
  <si>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</si>
  <si>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</si>
  <si>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</si>
  <si>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</si>
  <si>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</si>
  <si>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</si>
  <si>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</si>
  <si>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</si>
  <si>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</si>
  <si>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</si>
  <si>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</si>
  <si>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</si>
  <si>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</si>
  <si>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</si>
  <si>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</si>
  <si>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</si>
  <si>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</si>
  <si>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</si>
  <si>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</si>
  <si>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</si>
  <si>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</si>
  <si>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</si>
  <si>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</si>
  <si>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</si>
  <si>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</si>
  <si>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</si>
  <si>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</si>
  <si>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</si>
  <si>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</si>
  <si>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</si>
  <si>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</si>
  <si>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</si>
  <si>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</si>
  <si>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</si>
  <si>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</si>
  <si>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</si>
  <si>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</si>
  <si>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</si>
  <si>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</si>
  <si>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</si>
  <si>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</si>
  <si>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</si>
  <si>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</si>
  <si>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</si>
  <si>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</si>
  <si>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</si>
  <si>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</si>
  <si>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</si>
  <si>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</si>
  <si>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</si>
  <si>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</si>
  <si>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</si>
  <si>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</si>
  <si>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</si>
  <si>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</si>
  <si>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</si>
  <si>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</si>
  <si>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</si>
  <si>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</si>
  <si>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</si>
  <si>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</si>
  <si>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</si>
  <si>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</si>
  <si>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</si>
  <si>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</si>
  <si>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</si>
  <si>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</si>
  <si>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</si>
  <si>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</si>
  <si>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</si>
  <si>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</si>
  <si>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</si>
  <si>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</si>
  <si>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</si>
  <si>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</si>
  <si>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</si>
  <si>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</si>
  <si>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</si>
  <si>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</si>
  <si>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</si>
  <si>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</si>
  <si>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</si>
  <si>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</si>
  <si>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</si>
  <si>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</si>
  <si>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</si>
  <si>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</si>
  <si>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</si>
  <si>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</si>
  <si>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</si>
  <si>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</si>
  <si>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</si>
  <si>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</si>
  <si>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</si>
  <si>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</si>
  <si>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</si>
  <si>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</si>
  <si>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</si>
  <si>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</si>
  <si>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</si>
  <si>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</si>
  <si>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</si>
  <si>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</si>
  <si>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</si>
  <si>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</si>
  <si>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</si>
  <si>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</si>
  <si>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</si>
  <si>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</si>
  <si>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</si>
  <si>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</si>
  <si>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</si>
  <si>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</si>
  <si>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</si>
  <si>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</si>
  <si>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</si>
  <si>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</si>
  <si>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</si>
  <si>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</si>
  <si>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</si>
  <si>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</si>
  <si>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</si>
  <si>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</si>
  <si>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</si>
  <si>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</si>
  <si>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</si>
  <si>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</si>
  <si>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</si>
  <si>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</si>
  <si>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</si>
  <si>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</si>
  <si>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</si>
  <si>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</si>
  <si>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</si>
  <si>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</si>
  <si>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</si>
  <si>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</si>
  <si>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</si>
  <si>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</si>
  <si>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</si>
  <si>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</si>
  <si>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</si>
  <si>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</si>
  <si>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</si>
  <si>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</si>
  <si>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</si>
  <si>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</si>
  <si>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</si>
  <si>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</si>
  <si>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</si>
  <si>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</si>
  <si>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</si>
  <si>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</si>
  <si>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</si>
  <si>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</si>
  <si>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</si>
  <si>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</si>
  <si>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</si>
  <si>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</si>
  <si>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</si>
  <si>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</si>
  <si>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</si>
  <si>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</si>
  <si>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</si>
  <si>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</si>
  <si>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</si>
  <si>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</si>
  <si>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</si>
  <si>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</si>
  <si>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</si>
  <si>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</si>
  <si>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</si>
  <si>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</si>
  <si>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</si>
  <si>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</si>
  <si>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</si>
  <si>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</si>
  <si>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</si>
  <si>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</si>
  <si>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</si>
  <si>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</si>
  <si>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</si>
  <si>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</si>
  <si>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</si>
  <si>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</si>
  <si>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</si>
  <si>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</si>
  <si>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</si>
  <si>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</si>
  <si>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</si>
  <si>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</si>
  <si>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</si>
  <si>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</si>
  <si>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</si>
  <si>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</si>
  <si>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</si>
  <si>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</si>
  <si>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</si>
  <si>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</si>
  <si>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</si>
  <si>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</si>
  <si>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</si>
  <si>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</si>
  <si>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</si>
  <si>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</si>
  <si>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</si>
  <si>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</si>
  <si>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</si>
  <si>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</si>
  <si>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</si>
  <si>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</si>
  <si>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</si>
  <si>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</si>
  <si>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</si>
  <si>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</si>
  <si>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</si>
  <si>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</si>
  <si>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</si>
  <si>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</si>
  <si>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</si>
  <si>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</si>
  <si>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</si>
  <si>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</si>
  <si>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</si>
  <si>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</si>
  <si>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</si>
  <si>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</si>
  <si>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</si>
  <si>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</si>
  <si>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</si>
  <si>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</si>
  <si>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</si>
  <si>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</si>
  <si>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</si>
  <si>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</si>
  <si>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</si>
  <si>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</si>
  <si>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</si>
  <si>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</si>
  <si>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</si>
  <si>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</si>
  <si>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</si>
  <si>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</si>
  <si>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</si>
  <si>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</si>
  <si>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</si>
  <si>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</si>
  <si>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</si>
  <si>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</si>
  <si>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</si>
  <si>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</si>
  <si>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</si>
  <si>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</si>
  <si>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</si>
  <si>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</si>
  <si>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</si>
  <si>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</si>
  <si>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</si>
  <si>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</si>
  <si>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</si>
  <si>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</si>
  <si>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</si>
  <si>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</si>
  <si>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</si>
  <si>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</si>
  <si>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</si>
  <si>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</si>
  <si>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</si>
  <si>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</si>
  <si>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</si>
  <si>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</si>
  <si>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</si>
  <si>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</si>
  <si>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</si>
  <si>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</si>
  <si>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</si>
  <si>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</si>
  <si>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</si>
  <si>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</si>
  <si>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</si>
  <si>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</si>
  <si>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</si>
  <si>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</si>
  <si>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</si>
  <si>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</si>
  <si>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</si>
  <si>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</si>
  <si>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</si>
  <si>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</si>
  <si>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</si>
  <si>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</si>
  <si>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</si>
  <si>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</si>
  <si>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</si>
  <si>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</si>
  <si>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</si>
  <si>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</si>
  <si>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</si>
  <si>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</si>
  <si>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</si>
  <si>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</si>
  <si>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</si>
  <si>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</si>
  <si>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</si>
  <si>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</si>
  <si>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</si>
  <si>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</si>
  <si>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</si>
  <si>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</si>
  <si>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</si>
  <si>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</si>
  <si>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</si>
  <si>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</si>
  <si>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</si>
  <si>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</si>
  <si>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</si>
  <si>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</si>
  <si>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</si>
  <si>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</si>
  <si>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</si>
  <si>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</si>
  <si>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</si>
  <si>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</si>
  <si>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</si>
  <si>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</si>
  <si>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</si>
  <si>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</si>
  <si>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</si>
  <si>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</si>
  <si>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</si>
  <si>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</si>
  <si>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</si>
  <si>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</si>
  <si>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</si>
  <si>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</si>
  <si>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</si>
  <si>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</si>
  <si>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</si>
  <si>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</si>
  <si>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</si>
  <si>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</si>
  <si>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</si>
  <si>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</si>
  <si>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</si>
  <si>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</si>
  <si>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</si>
  <si>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</si>
  <si>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</si>
  <si>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</si>
  <si>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</si>
  <si>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</si>
  <si>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</si>
  <si>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</si>
  <si>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</si>
  <si>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</si>
  <si>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</si>
  <si>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</si>
  <si>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</si>
  <si>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</si>
  <si>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</si>
  <si>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</si>
  <si>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</si>
  <si>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</si>
  <si>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</si>
  <si>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</si>
  <si>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</si>
  <si>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</si>
  <si>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</si>
  <si>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</si>
  <si>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</si>
  <si>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</si>
  <si>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</si>
  <si>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</si>
  <si>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</si>
  <si>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</si>
  <si>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</si>
  <si>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</si>
  <si>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</si>
  <si>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</si>
  <si>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</si>
  <si>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</si>
  <si>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</si>
  <si>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</si>
  <si>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</si>
  <si>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</si>
  <si>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</si>
  <si>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</si>
  <si>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</si>
  <si>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</si>
  <si>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</si>
  <si>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</si>
  <si>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</si>
  <si>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</si>
  <si>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</si>
  <si>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</si>
  <si>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</si>
  <si>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</si>
  <si>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</si>
  <si>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</si>
  <si>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</si>
  <si>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</si>
  <si>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</si>
  <si>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</si>
  <si>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</si>
  <si>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</si>
  <si>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</si>
  <si>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</si>
  <si>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</si>
  <si>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</si>
  <si>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</si>
  <si>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</si>
  <si>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</si>
  <si>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</si>
  <si>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</si>
  <si>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</si>
  <si>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</si>
  <si>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</si>
  <si>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</si>
  <si>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</si>
  <si>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</si>
  <si>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</si>
  <si>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</si>
  <si>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</si>
  <si>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</si>
  <si>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</si>
  <si>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</si>
  <si>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</si>
  <si>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</si>
  <si>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</si>
  <si>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</si>
  <si>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</si>
  <si>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</si>
  <si>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</si>
  <si>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</si>
  <si>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</si>
  <si>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</si>
  <si>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</si>
  <si>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</si>
  <si>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</si>
  <si>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</si>
  <si>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</si>
  <si>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</si>
  <si>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</si>
  <si>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</si>
  <si>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</si>
  <si>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</si>
  <si>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</si>
  <si>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</si>
  <si>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</si>
  <si>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</si>
  <si>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</si>
  <si>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</si>
  <si>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</si>
  <si>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</si>
  <si>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</si>
  <si>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</si>
  <si>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</si>
  <si>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</si>
  <si>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</si>
  <si>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</si>
  <si>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</si>
  <si>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</si>
  <si>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</si>
  <si>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</si>
  <si>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</si>
  <si>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</si>
  <si>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</si>
  <si>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</si>
  <si>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</si>
  <si>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</si>
  <si>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</si>
  <si>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</si>
  <si>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</si>
  <si>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</si>
  <si>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</si>
  <si>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</si>
  <si>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</si>
  <si>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</si>
  <si>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</si>
  <si>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</si>
  <si>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</si>
  <si>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</si>
  <si>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</si>
  <si>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</si>
  <si>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</si>
  <si>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</si>
  <si>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</si>
  <si>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</si>
  <si>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</si>
  <si>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</si>
  <si>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</si>
  <si>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</si>
  <si>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</si>
  <si>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</si>
  <si>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</si>
  <si>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</si>
  <si>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</si>
  <si>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</si>
  <si>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</si>
  <si>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</si>
  <si>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</si>
  <si>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</si>
  <si>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</si>
  <si>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</si>
  <si>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</si>
  <si>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</si>
  <si>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</si>
  <si>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</si>
  <si>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</si>
  <si>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</si>
  <si>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</si>
  <si>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</si>
  <si>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</si>
  <si>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</si>
  <si>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</si>
  <si>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</si>
  <si>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</si>
  <si>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</si>
  <si>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</si>
  <si>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</si>
  <si>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</si>
  <si>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</si>
  <si>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</si>
  <si>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</si>
  <si>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</si>
  <si>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</si>
  <si>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</si>
  <si>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</si>
  <si>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</si>
  <si>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</si>
  <si>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</si>
  <si>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</si>
  <si>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</si>
  <si>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</si>
  <si>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</si>
  <si>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</si>
  <si>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</si>
  <si>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</si>
  <si>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</si>
  <si>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</si>
  <si>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</si>
  <si>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</si>
  <si>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</si>
  <si>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</si>
  <si>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</si>
  <si>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</si>
  <si>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</si>
  <si>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</si>
  <si>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</si>
  <si>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</si>
  <si>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</si>
  <si>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</si>
  <si>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</si>
  <si>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</si>
  <si>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</si>
  <si>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</si>
  <si>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</si>
  <si>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</si>
  <si>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</si>
  <si>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</si>
  <si>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</si>
  <si>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</si>
  <si>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</si>
  <si>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</si>
  <si>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</si>
  <si>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</si>
  <si>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</si>
  <si>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</si>
  <si>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</si>
  <si>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</si>
  <si>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</si>
  <si>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</si>
  <si>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</si>
  <si>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</si>
  <si>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</si>
  <si>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</si>
  <si>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</si>
  <si>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</si>
  <si>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</si>
  <si>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</si>
  <si>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</si>
  <si>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</si>
  <si>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</si>
  <si>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</si>
  <si>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</si>
  <si>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</si>
  <si>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</si>
  <si>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</si>
  <si>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</si>
  <si>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</si>
  <si>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</si>
  <si>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</si>
  <si>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</si>
  <si>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</si>
  <si>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</si>
  <si>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</si>
  <si>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</si>
  <si>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</si>
  <si>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</si>
  <si>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</si>
  <si>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</si>
  <si>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</si>
  <si>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</si>
  <si>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</si>
  <si>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</si>
  <si>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</si>
  <si>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</si>
  <si>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</si>
  <si>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</si>
  <si>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</si>
  <si>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</si>
  <si>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</si>
  <si>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</si>
  <si>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</si>
  <si>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</si>
  <si>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</si>
  <si>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</si>
  <si>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</si>
  <si>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</si>
  <si>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</si>
  <si>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</si>
  <si>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</si>
  <si>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</si>
  <si>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</si>
  <si>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</si>
  <si>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</si>
  <si>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</si>
  <si>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</si>
  <si>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</si>
  <si>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</si>
  <si>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</si>
  <si>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</si>
  <si>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</si>
  <si>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</si>
  <si>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</si>
  <si>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</si>
  <si>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</si>
  <si>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</si>
  <si>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</si>
  <si>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</si>
  <si>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</si>
  <si>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</si>
  <si>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</si>
  <si>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</si>
  <si>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</si>
  <si>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</si>
  <si>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</si>
  <si>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</si>
  <si>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</si>
  <si>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</si>
  <si>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</si>
  <si>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</si>
  <si>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</si>
  <si>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</si>
  <si>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</si>
  <si>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</si>
  <si>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</si>
  <si>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</si>
  <si>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</si>
  <si>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</si>
  <si>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</si>
  <si>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</si>
  <si>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</si>
  <si>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</si>
  <si>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</si>
  <si>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</si>
  <si>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</si>
  <si>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</si>
  <si>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</si>
  <si>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</si>
  <si>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</si>
  <si>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</si>
  <si>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</si>
  <si>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</si>
  <si>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</si>
  <si>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</si>
  <si>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</si>
  <si>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</si>
  <si>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</si>
  <si>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</si>
  <si>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</si>
  <si>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</si>
  <si>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</si>
  <si>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</si>
  <si>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</si>
  <si>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</si>
  <si>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</si>
  <si>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</si>
  <si>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</si>
  <si>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</si>
  <si>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</si>
  <si>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</si>
  <si>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</si>
  <si>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</si>
  <si>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</si>
  <si>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</si>
  <si>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</si>
  <si>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</si>
  <si>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</si>
  <si>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</si>
  <si>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</si>
  <si>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</si>
  <si>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</si>
  <si>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</si>
  <si>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</si>
  <si>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</si>
  <si>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</si>
  <si>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</si>
  <si>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</si>
  <si>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</si>
  <si>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</si>
  <si>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</si>
  <si>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</si>
  <si>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</si>
  <si>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</si>
  <si>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</si>
  <si>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</si>
  <si>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</si>
  <si>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</si>
  <si>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</si>
  <si>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</si>
  <si>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</si>
  <si>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</si>
  <si>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</si>
  <si>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</si>
  <si>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</si>
  <si>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</si>
  <si>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</si>
  <si>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</si>
  <si>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</si>
  <si>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</si>
  <si>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</si>
  <si>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</si>
  <si>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</si>
  <si>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</si>
  <si>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</si>
  <si>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</si>
  <si>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</si>
  <si>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</si>
  <si>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</si>
  <si>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</si>
  <si>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</si>
  <si>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</si>
  <si>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</si>
  <si>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</si>
  <si>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</si>
  <si>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</si>
  <si>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</si>
  <si>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</si>
  <si>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</si>
  <si>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</si>
  <si>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</si>
  <si>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</si>
  <si>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</si>
  <si>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</si>
  <si>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</si>
  <si>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</si>
  <si>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</si>
  <si>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</si>
  <si>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</si>
  <si>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</si>
  <si>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</si>
  <si>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</si>
  <si>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</si>
  <si>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</si>
  <si>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</si>
  <si>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</si>
  <si>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</si>
  <si>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</si>
  <si>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</si>
  <si>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</si>
  <si>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</si>
  <si>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</si>
  <si>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</si>
  <si>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</si>
  <si>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</si>
  <si>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</si>
  <si>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</si>
  <si>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</si>
  <si>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</si>
  <si>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</si>
  <si>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</si>
  <si>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</si>
  <si>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</si>
  <si>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</si>
  <si>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</si>
  <si>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</si>
  <si>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</si>
  <si>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</si>
  <si>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</si>
  <si>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</si>
  <si>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</si>
  <si>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</si>
  <si>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</si>
  <si>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</si>
  <si>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</si>
  <si>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</si>
  <si>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</si>
  <si>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</si>
  <si>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</si>
  <si>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</si>
  <si>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</si>
  <si>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</si>
  <si>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</si>
  <si>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</si>
  <si>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</si>
  <si>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</si>
  <si>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</si>
  <si>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</si>
  <si>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</si>
  <si>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</si>
  <si>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</si>
  <si>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</si>
  <si>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</si>
  <si>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</si>
  <si>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</si>
  <si>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</si>
  <si>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</si>
  <si>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</si>
  <si>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</si>
  <si>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</si>
  <si>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</si>
  <si>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</si>
  <si>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</si>
  <si>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</si>
  <si>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</si>
  <si>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</si>
  <si>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</si>
  <si>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</si>
  <si>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</si>
  <si>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</si>
  <si>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</si>
  <si>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</si>
  <si>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</si>
  <si>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</si>
  <si>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</si>
  <si>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</si>
  <si>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</si>
  <si>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</si>
  <si>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</si>
  <si>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</si>
  <si>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</si>
  <si>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</si>
  <si>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</si>
  <si>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</si>
  <si>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</si>
  <si>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</si>
  <si>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</si>
  <si>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</si>
  <si>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</si>
  <si>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</si>
  <si>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</si>
  <si>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</si>
  <si>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</si>
  <si>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</si>
  <si>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</si>
  <si>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</si>
  <si>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</si>
  <si>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</si>
  <si>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</si>
  <si>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</si>
  <si>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</si>
  <si>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</si>
  <si>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</si>
  <si>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</si>
  <si>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</si>
  <si>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</si>
  <si>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</si>
  <si>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</si>
  <si>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</si>
  <si>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</si>
  <si>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</si>
  <si>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</si>
  <si>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</si>
  <si>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</si>
  <si>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</si>
  <si>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</si>
  <si>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</si>
  <si>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</si>
  <si>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</si>
  <si>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</si>
  <si>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</si>
  <si>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</si>
  <si>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</si>
  <si>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</si>
  <si>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</si>
  <si>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</si>
  <si>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</si>
  <si>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</si>
  <si>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</si>
  <si>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</si>
  <si>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</si>
  <si>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</si>
  <si>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</si>
  <si>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</si>
  <si>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</si>
  <si>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</si>
  <si>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</si>
  <si>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</si>
  <si>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</si>
  <si>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</si>
  <si>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</si>
  <si>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</si>
  <si>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</si>
  <si>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</si>
  <si>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</si>
  <si>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</si>
  <si>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</si>
  <si>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</si>
  <si>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</si>
  <si>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</si>
  <si>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</si>
  <si>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</si>
  <si>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</si>
  <si>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</si>
  <si>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</si>
  <si>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</si>
  <si>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</si>
  <si>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</si>
  <si>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</si>
  <si>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</si>
  <si>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</si>
  <si>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</si>
  <si>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</si>
  <si>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</si>
  <si>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</si>
  <si>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</si>
  <si>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</si>
  <si>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</si>
  <si>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</si>
  <si>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</si>
  <si>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</si>
  <si>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</si>
  <si>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</si>
  <si>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</si>
  <si>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</si>
  <si>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</si>
  <si>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</si>
  <si>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</si>
  <si>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</si>
  <si>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</si>
  <si>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</si>
  <si>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</si>
  <si>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</si>
  <si>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</si>
  <si>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</si>
  <si>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</si>
  <si>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</si>
  <si>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</si>
  <si>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</si>
  <si>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</si>
  <si>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</si>
  <si>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</si>
  <si>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</si>
  <si>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</si>
  <si>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</si>
  <si>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</si>
  <si>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</si>
  <si>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</si>
  <si>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</si>
  <si>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</si>
  <si>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</si>
  <si>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</si>
  <si>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</si>
  <si>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</si>
  <si>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</si>
  <si>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</si>
  <si>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</si>
  <si>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</si>
  <si>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</si>
  <si>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</si>
  <si>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</si>
  <si>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</si>
  <si>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</si>
  <si>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</si>
  <si>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</si>
  <si>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</si>
  <si>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</si>
  <si>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</si>
  <si>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</si>
  <si>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</si>
  <si>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</si>
  <si>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</si>
  <si>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</si>
  <si>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</si>
  <si>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</si>
  <si>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</si>
  <si>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</si>
  <si>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</si>
  <si>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</si>
  <si>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</si>
  <si>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</si>
  <si>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</si>
  <si>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</si>
  <si>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</si>
  <si>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</si>
  <si>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</si>
  <si>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</si>
  <si>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</si>
  <si>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</si>
  <si>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</si>
  <si>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</si>
  <si>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</si>
  <si>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</si>
  <si>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</si>
  <si>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</si>
  <si>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</si>
  <si>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</si>
  <si>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</si>
  <si>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</si>
  <si>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</si>
  <si>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</si>
  <si>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</si>
  <si>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</si>
  <si>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</si>
  <si>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</si>
  <si>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</si>
  <si>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</si>
  <si>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</si>
  <si>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</si>
  <si>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</si>
  <si>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</si>
  <si>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</si>
  <si>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</si>
  <si>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</si>
  <si>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</si>
  <si>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</si>
  <si>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</si>
  <si>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</si>
  <si>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</si>
  <si>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</si>
  <si>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</si>
  <si>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</si>
  <si>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</si>
  <si>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</si>
  <si>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</si>
  <si>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</si>
  <si>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</si>
  <si>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</si>
  <si>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</si>
  <si>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</si>
  <si>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</si>
  <si>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</si>
  <si>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</si>
  <si>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</si>
  <si>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</si>
  <si>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</si>
  <si>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</si>
  <si>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</si>
  <si>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</si>
  <si>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</si>
  <si>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</si>
  <si>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</si>
  <si>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</si>
  <si>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</si>
  <si>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</si>
  <si>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</si>
  <si>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</si>
  <si>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</si>
  <si>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</si>
  <si>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</si>
  <si>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</si>
  <si>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</si>
  <si>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</si>
  <si>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</si>
  <si>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</si>
  <si>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</si>
  <si>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</si>
  <si>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</si>
  <si>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</si>
  <si>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</si>
  <si>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</si>
  <si>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</si>
  <si>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</si>
  <si>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</si>
  <si>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</si>
  <si>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</si>
  <si>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</si>
  <si>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</si>
  <si>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</si>
  <si>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</si>
  <si>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</si>
  <si>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</si>
  <si>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</si>
  <si>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</si>
  <si>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</si>
  <si>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</si>
  <si>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</si>
  <si>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</si>
  <si>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</si>
  <si>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</si>
  <si>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</si>
  <si>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</si>
  <si>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</si>
  <si>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</si>
  <si>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</si>
  <si>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</si>
  <si>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</si>
  <si>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</si>
  <si>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</si>
  <si>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</si>
  <si>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</si>
  <si>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</si>
  <si>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</si>
  <si>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</si>
  <si>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</si>
  <si>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</si>
  <si>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</si>
  <si>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</si>
  <si>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</si>
  <si>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</si>
  <si>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</si>
  <si>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</si>
  <si>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</si>
  <si>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</si>
  <si>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</si>
  <si>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</si>
  <si>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</si>
  <si>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</si>
  <si>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</si>
  <si>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</si>
  <si>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</si>
  <si>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</si>
  <si>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</si>
  <si>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</si>
  <si>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</si>
  <si>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</si>
  <si>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</si>
  <si>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</si>
  <si>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</si>
  <si>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</si>
  <si>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</si>
  <si>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</si>
  <si>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</si>
  <si>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</si>
  <si>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</si>
  <si>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</si>
  <si>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</si>
  <si>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</si>
  <si>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</si>
  <si>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</si>
  <si>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</si>
  <si>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</si>
  <si>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</si>
  <si>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</si>
  <si>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</si>
  <si>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</si>
  <si>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</si>
  <si>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</si>
  <si>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</si>
  <si>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</si>
  <si>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</si>
  <si>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</si>
  <si>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</si>
  <si>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</si>
  <si>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</si>
  <si>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</si>
  <si>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</si>
  <si>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</si>
  <si>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</si>
  <si>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</si>
  <si>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</si>
  <si>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</si>
  <si>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</si>
  <si>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</si>
  <si>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</si>
  <si>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</si>
  <si>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</si>
  <si>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</si>
  <si>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</si>
  <si>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</si>
  <si>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</si>
  <si>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</si>
  <si>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</si>
  <si>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</si>
  <si>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</si>
  <si>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</si>
  <si>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</si>
  <si>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</si>
  <si>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</si>
  <si>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</si>
  <si>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</si>
  <si>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</si>
  <si>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</si>
  <si>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</si>
  <si>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</si>
  <si>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</si>
  <si>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</si>
  <si>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</si>
  <si>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</si>
  <si>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</si>
  <si>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</si>
  <si>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</si>
  <si>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</si>
  <si>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</si>
  <si>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</si>
  <si>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</si>
  <si>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</si>
  <si>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</si>
  <si>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</si>
  <si>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</si>
  <si>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</si>
  <si>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</si>
  <si>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</si>
  <si>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</si>
  <si>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</si>
  <si>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</si>
  <si>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</si>
  <si>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</si>
  <si>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</si>
  <si>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</si>
  <si>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</si>
  <si>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</si>
  <si>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</si>
  <si>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</si>
  <si>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</si>
  <si>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</si>
  <si>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</si>
  <si>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</si>
  <si>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</si>
  <si>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</si>
  <si>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</si>
  <si>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</si>
  <si>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</si>
  <si>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</si>
  <si>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</si>
  <si>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</si>
  <si>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</si>
  <si>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</si>
  <si>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</si>
  <si>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</si>
  <si>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</si>
  <si>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</si>
  <si>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</si>
  <si>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</si>
  <si>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</si>
  <si>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</si>
  <si>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</si>
  <si>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</si>
  <si>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</si>
  <si>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</si>
  <si>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</si>
  <si>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</si>
  <si>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</si>
  <si>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</si>
  <si>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</si>
  <si>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</si>
  <si>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</si>
  <si>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</si>
  <si>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</si>
  <si>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</si>
  <si>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</si>
  <si>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</si>
  <si>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</si>
  <si>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</si>
  <si>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</si>
  <si>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</si>
  <si>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</si>
  <si>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</si>
  <si>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</si>
  <si>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</si>
  <si>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</si>
  <si>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</si>
  <si>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</si>
  <si>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</si>
  <si>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</si>
  <si>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</si>
  <si>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</si>
  <si>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</si>
  <si>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</si>
  <si>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</si>
  <si>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</si>
  <si>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</si>
  <si>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</si>
  <si>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</si>
  <si>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</si>
  <si>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</si>
  <si>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</si>
  <si>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</si>
  <si>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</si>
  <si>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</si>
  <si>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</si>
  <si>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</si>
  <si>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</si>
  <si>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</si>
  <si>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</si>
  <si>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</si>
  <si>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</si>
  <si>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</si>
  <si>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</si>
  <si>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</si>
  <si>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</si>
  <si>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</si>
  <si>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</si>
  <si>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</si>
  <si>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</si>
  <si>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</si>
  <si>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</si>
  <si>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</si>
  <si>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</si>
  <si>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</si>
  <si>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</si>
  <si>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</si>
  <si>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</si>
  <si>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</si>
  <si>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</si>
  <si>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</si>
  <si>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</si>
  <si>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</si>
  <si>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</si>
  <si>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</si>
  <si>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</si>
  <si>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</si>
  <si>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</si>
  <si>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</si>
  <si>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</si>
  <si>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</si>
  <si>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</si>
  <si>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</si>
  <si>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</si>
  <si>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</si>
  <si>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</si>
  <si>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</si>
  <si>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</si>
  <si>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</si>
  <si>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</si>
  <si>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</si>
  <si>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</si>
  <si>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</si>
  <si>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</si>
  <si>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</si>
  <si>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</si>
  <si>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</si>
  <si>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</si>
  <si>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</si>
  <si>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</si>
  <si>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</si>
  <si>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</si>
  <si>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</si>
  <si>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</si>
  <si>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</si>
  <si>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</si>
  <si>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</si>
  <si>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</si>
  <si>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</si>
  <si>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</si>
  <si>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</si>
  <si>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</si>
  <si>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</si>
  <si>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</si>
  <si>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</si>
  <si>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</si>
  <si>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</si>
  <si>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</si>
  <si>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</si>
  <si>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</si>
  <si>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</si>
  <si>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</si>
  <si>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</si>
  <si>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</si>
  <si>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</si>
  <si>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</si>
  <si>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</si>
  <si>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</si>
  <si>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</si>
  <si>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</si>
  <si>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</si>
  <si>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</si>
  <si>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</si>
  <si>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</si>
  <si>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</si>
  <si>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</si>
  <si>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</si>
  <si>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</si>
  <si>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</si>
  <si>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</si>
  <si>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</si>
  <si>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</si>
  <si>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</si>
  <si>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</si>
  <si>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</si>
  <si>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</si>
  <si>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</si>
  <si>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</si>
  <si>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</si>
  <si>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</si>
  <si>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</si>
  <si>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</si>
  <si>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</si>
  <si>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</si>
  <si>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</si>
  <si>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</si>
  <si>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</si>
  <si>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</si>
  <si>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</si>
  <si>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</si>
  <si>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</si>
  <si>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</si>
  <si>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</si>
  <si>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</si>
  <si>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</si>
  <si>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</si>
  <si>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</si>
  <si>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</si>
  <si>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</si>
  <si>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</si>
  <si>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</si>
  <si>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</si>
  <si>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</si>
  <si>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</si>
  <si>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</si>
  <si>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</si>
  <si>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</si>
  <si>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</si>
  <si>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</si>
  <si>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</si>
  <si>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</si>
  <si>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</si>
  <si>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</si>
  <si>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</si>
  <si>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</si>
  <si>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</si>
  <si>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</si>
  <si>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</si>
  <si>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</si>
  <si>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</si>
  <si>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</si>
  <si>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</si>
  <si>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</si>
  <si>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</si>
  <si>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</si>
  <si>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</si>
  <si>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</si>
  <si>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</si>
  <si>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</si>
  <si>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</si>
  <si>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</si>
  <si>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</si>
  <si>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</si>
  <si>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</si>
  <si>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</si>
  <si>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</si>
  <si>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</si>
  <si>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</si>
  <si>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</si>
  <si>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</si>
  <si>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</si>
  <si>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</si>
  <si>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</si>
  <si>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</si>
  <si>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</si>
  <si>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</si>
  <si>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</si>
  <si>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</si>
  <si>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</si>
  <si>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</si>
  <si>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</si>
  <si>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</si>
  <si>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</si>
  <si>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</si>
  <si>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</si>
  <si>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</si>
  <si>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</si>
  <si>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</si>
  <si>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</si>
  <si>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</si>
  <si>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</si>
  <si>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</si>
  <si>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</si>
  <si>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</si>
  <si>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</si>
  <si>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</si>
  <si>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</si>
  <si>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</si>
  <si>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</si>
  <si>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</si>
  <si>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</si>
  <si>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</si>
  <si>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</si>
  <si>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</si>
  <si>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</si>
  <si>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</si>
  <si>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</si>
  <si>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</si>
  <si>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</si>
  <si>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</si>
  <si>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</si>
  <si>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</si>
  <si>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</si>
  <si>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</si>
  <si>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</si>
  <si>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</si>
  <si>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</si>
  <si>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</si>
  <si>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</si>
  <si>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</si>
  <si>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</si>
  <si>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</si>
  <si>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</si>
  <si>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</si>
  <si>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</si>
  <si>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</si>
  <si>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</si>
  <si>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</si>
  <si>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</si>
  <si>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</si>
  <si>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</si>
  <si>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</si>
  <si>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</si>
  <si>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</si>
  <si>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</si>
  <si>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eMagin Corporation</t>
  </si>
  <si>
    <t>Manufacturer of microdisplays</t>
  </si>
  <si>
    <t>DUNS 791560030</t>
  </si>
  <si>
    <t>700 South Drive, Suite 201, Hopewell Junction, NY 12533</t>
  </si>
  <si>
    <t>Joseph C. Saltarelli</t>
  </si>
  <si>
    <t>dplank@emagin.com</t>
  </si>
  <si>
    <t>845-838-7989</t>
  </si>
  <si>
    <t>Senior Vice President of Operations</t>
  </si>
  <si>
    <t>Deena Plank</t>
  </si>
  <si>
    <t>jsaltarelli@emagin.com</t>
  </si>
  <si>
    <t>845-838-7900</t>
  </si>
  <si>
    <t>Tantalum is contained in certain electronic capacitors designed into eMagin Corps display carrier PCBA's.</t>
  </si>
  <si>
    <t>Tin is used in solder</t>
  </si>
  <si>
    <t>Gold is used to cover the wire bond pads on display carrier PCBA's</t>
  </si>
  <si>
    <t>Tungsten is used in wafer manufacturing in micro levels</t>
  </si>
  <si>
    <t>The names and locations of some smelters may not be known to eMagin Corp., because Company  and its suppliers are multiple steps separated from many smelters within the supply chain.</t>
  </si>
  <si>
    <t>Company Terms &amp; Conditions and Policies prohibit suppliers from using DRC conflict minerals.</t>
  </si>
  <si>
    <t>https://www.emagin.com/images/pdf/CFSI_CMRT_eMagin.pdf</t>
  </si>
  <si>
    <t>eMagin Corp., is not required, but conducts due diligence CMRT surveys from suppliers for our customers.</t>
  </si>
  <si>
    <t/>
  </si>
  <si>
    <t>Brazil</t>
  </si>
  <si>
    <t>Nova Lima, Brazil</t>
  </si>
  <si>
    <t>Jose Roberto Vago</t>
  </si>
  <si>
    <t>JRVago@AngloGoldAshanti.com.br</t>
  </si>
  <si>
    <t>Brazil, South Africa, Australia, Recycled/Scrap, Bolivia, Uzbekistan</t>
  </si>
  <si>
    <t>United States Of America</t>
  </si>
  <si>
    <t>4100 Sixth Avenue, Altoona PA 16602</t>
  </si>
  <si>
    <t>Dan Weaver</t>
  </si>
  <si>
    <t>dweaver@alent.com</t>
  </si>
  <si>
    <t>Myanmar, Cambodia, Malaysia, Kazakhstan, Portugal, Austria, Mongolia, Luxembourg, Republic Of Korea, Brazil, Guyana, USA, Chile, Laos, Colombia, Ecuador, Argentina, Hungary, Japan, India, Canada, Belgium, Namibia, China, Peru, Ethiopia, Germany, Russia, Singapore, Vietnam, Egypt, Madagascar, Sierra Leone, Ivory Coast, Bolivia, Thailand, Netherlands, Sweden, Ireland, Slovakia, France, Nigeria, Recycled/Scrap, United Kingdom, Switzerland, Spain, Djibouti, Czech Republic, Zimbabwe, Suriname, Israel, Australia, Indonesia, Estonia, DRC or an adjoining country (Covered Countries), Russia, USA, Brazil</t>
  </si>
  <si>
    <t>Switzerland</t>
  </si>
  <si>
    <t>Mendrisio, Ticino, Switzerland</t>
  </si>
  <si>
    <t>Christoph Wild (Co-CEO)</t>
  </si>
  <si>
    <t>christoph.wild@argor.com</t>
  </si>
  <si>
    <t>Recycled/Scrap, Switzerland, Argentina, Singapore, China, Philippines, South Africa, Chile, Indonesia, Canada, Philippines, Mongolia, Sweden</t>
  </si>
  <si>
    <t>Japan</t>
  </si>
  <si>
    <t>47 Aza Maseguchi, Kanaya Tamura-machi, Koriyama-shi, Fukushima, 963-0725, JAPAN</t>
  </si>
  <si>
    <t>Yoshimasa Uozumi</t>
  </si>
  <si>
    <t>cyuozumi@asaka.co.jp</t>
  </si>
  <si>
    <t>Recycled/Scrap, Japan, DRC or an adjoining country (Covered Countries), Myanmar, Angola, Cambodia, Malaysia, Kazakhstan, Portugal, Mongolia, Austria, Mozambique, Luxembourg, Brazil, Guyana, Republic Of Korea, Chile, Laos, Ecuador, Colombia, Argentina, Hungary, South Sudan, Tanzania, Zambia, India, Canada, Belgium, Namibia, China, South Africa, Central African Republic, Peru, Ethiopia, Germany, Burundi, Russia, Singapore, Vietnam, USA, Egypt, Madagascar, Sierra Leone, Ivory Coast, Thailand, Bolivia, Netherlands, Ireland, Slovakia, Nigeria, France, Rwanda, United Kingdom, Kenya, Switzerland, Spain, Djibouti, Czech Republic, Uganda, Mexico, Zimbabwe, Suriname, Israel, Australia, Indonesia, Estonia, Armenia, Niger</t>
  </si>
  <si>
    <t>China</t>
  </si>
  <si>
    <t>No. 148 Xiaoxia Road, Xintang Town, Hengdong, Hengyang Hunan, China</t>
  </si>
  <si>
    <t>Mr. Shan Wenzhi</t>
  </si>
  <si>
    <t>ccxyswz@sina.com</t>
  </si>
  <si>
    <t>Myanmar, Cambodia, Malaysia, Kazakhstan, Portugal, Mongolia, Austria, Mozambique, Luxembourg, Brazil, Guyana, Republic Of Korea, Chile, Laos, Ecuador, Colombia, Argentina, Hungary, Japan, India, Canada, Belgium, Namibia, China, Peru, Germany, Ethiopia, Russia, Vietnam, Singapore, USA, Egypt, Madagascar, Sierra Leone, Ivory Coast, Bolivia, Thailand, Netherlands, Ireland, Slovakia, Nigeria, France, United Kingdom, Switzerland, Spain, Djibouti, Czech Republic, Zimbabwe, Suriname, Israel, Australia, Estonia, Indonesia, Recycled/Scrap</t>
  </si>
  <si>
    <t xml:space="preserve">Guiyang County, Hunan Province, Lu Feng Lei Daling street child Long Industrial Park 
</t>
  </si>
  <si>
    <t>Ms. Tang</t>
  </si>
  <si>
    <t>2508891618@qq.com</t>
  </si>
  <si>
    <t>China, USA, Japan, Rwanda, Chile</t>
  </si>
  <si>
    <t>Osaka, Kansai, Japan</t>
  </si>
  <si>
    <t>pub@mint.go.jp</t>
  </si>
  <si>
    <t>Japan, Italy, Mexico, Australia, Recycled/Scrap, Republic Of Korea</t>
  </si>
  <si>
    <t>Huangshi City, Huabei, China</t>
  </si>
  <si>
    <t>Mr. Tianmu Li (李天沐)</t>
  </si>
  <si>
    <t>452229609@qq.com</t>
  </si>
  <si>
    <t>Singapore, China, USA, Japan, Uzbekistan, United Kingdom, Malaysia, Switzerland, Canada, Belgium, Mexico, South Africa, Australia, Chile</t>
  </si>
  <si>
    <t>Salt Lake City, Utah</t>
  </si>
  <si>
    <t>David Dorris</t>
  </si>
  <si>
    <t>david.dorris@asahirefining.com</t>
  </si>
  <si>
    <t>Recycled/Scrap, USA, Canada, China, Uzbekistan, Bermuda, Malaysia, Australia, Chile, Peru, Indonesia</t>
  </si>
  <si>
    <t>Canada</t>
  </si>
  <si>
    <t>Brampton, Ontario, Canada</t>
  </si>
  <si>
    <t>Canada, Recycled/Scrap, Japan, Australia, Italy, China, Peru</t>
  </si>
  <si>
    <t>Indonesia</t>
  </si>
  <si>
    <t>Gian Fierra</t>
  </si>
  <si>
    <t>gianfierra21@outlook.com</t>
  </si>
  <si>
    <t>Saganoseki, Kitaamabe District, Ōita Prefecture, Japan</t>
  </si>
  <si>
    <t>Ryosuke Tawara</t>
  </si>
  <si>
    <t>r_tawara@ppcu.co.jp</t>
  </si>
  <si>
    <t>Recycled/Scrap, Japan, Australia, Canada, Chile, Saudi Arabia, China, United Kingdom, Indonesia, England</t>
  </si>
  <si>
    <t>Ba Bao Shu Industry Park, Zha Dian Town, Gejiu City, Honghe, Yunnan Province</t>
  </si>
  <si>
    <t>Kou Jingjing</t>
  </si>
  <si>
    <t>1553724507@qq.com</t>
  </si>
  <si>
    <t>China, Recycled/Scrap, Indonesia, Brazil, Malaysia</t>
  </si>
  <si>
    <t>Turkey</t>
  </si>
  <si>
    <t>Istanbul, Istanbul Province</t>
  </si>
  <si>
    <t>Bünyamin Orhan</t>
  </si>
  <si>
    <t>bunyamin.orhan@atasay.com</t>
  </si>
  <si>
    <t>Turkey, Brazil, Australia, Indonesia, Republic Of Korea, Recycled/Scrap, USA</t>
  </si>
  <si>
    <t>Huntsville, AL</t>
  </si>
  <si>
    <t>Kevin Cann</t>
  </si>
  <si>
    <t>Kevin.Cann@kennametal.com</t>
  </si>
  <si>
    <t>Indonesia, Recycled/Scrap</t>
  </si>
  <si>
    <t>226# BinJiang East Road, Jiujiang City, JiangXi Province, China</t>
  </si>
  <si>
    <t>Janny</t>
  </si>
  <si>
    <t>janny@jiujiangjx.com</t>
  </si>
  <si>
    <t>DRC or an adjoining country (Covered Countries), Myanmar, Angola, Cambodia, Malaysia, Kazakhstan, Portugal, Austria, Mongolia, Luxembourg, Republic Of Korea, Guyana, Brazil, Chile, Laos, Ecuador, Colombia, Argentina, South Sudan, Hungary, Japan, Tanzania, Zambia, India, Canada, Belgium, Namibia, China, Italy, Central African Republic, Peru, Ethiopia, Germany, Russia, Burundi, Singapore, Vietnam, USA, Egypt, Madagascar, Sierra Leone, Ivory Coast, Thailand, Bolivia, Netherlands, Ireland, Slovakia, France, Nigeria, Rwanda, United Kingdom, Switzerland, Spain, Djibouti, Czech Republic, Zimbabwe, Uganda, Suriname, Israel, Australia, Estonia, Indonesia, Recycled/Scrap, Kyrgyzstan</t>
  </si>
  <si>
    <t>No. 62, Jiuhu Road, Jiujiang City, Jiangxi 
Province, China, P.C: 332014</t>
  </si>
  <si>
    <t>Ms. Lynn Chan</t>
  </si>
  <si>
    <t>import@jjtanbre.com.cn</t>
  </si>
  <si>
    <t>DRC or an adjoining country (Covered Countries), Myanmar, Angola, Cambodia, Malaysia, Kazakhstan, Portugal, Mongolia, Austria, Mozambique, Luxembourg, Republic Of Korea, Brazil, Guyana, Chile, Laos, Ecuador, Colombia, Argentina, South Sudan, Hungary, Japan, Tanzania, Zambia, India, Canada, Belgium, Namibia, China, South Africa, Central African Republic, Peru, Ethiopia, Germany, Burundi, Russia, Vietnam, Singapore, USA, Egypt, Sierra Leone, Madagascar, Ivory Coast, Thailand, Bolivia, Netherlands, Ireland, Slovakia, Nigeria, France, Philippines, Rwanda, United Kingdom, Kenya, Switzerland, Spain, Djibouti, Czech Republic, Uganda, Zimbabwe, Suriname, Israel, Australia, Indonesia, Estonia, Recycled/Scrap, DRC or an adjoining country (Covered Countries)</t>
  </si>
  <si>
    <t>Russian Federation</t>
  </si>
  <si>
    <t>131 Lenina st  (new name - Uspensky Avenue), Verhnjaja Pyshma city, 
Sverdlovsk region, 624097 Russia</t>
  </si>
  <si>
    <t>u.tukalova@ezocm.ru</t>
  </si>
  <si>
    <t>Canada, Russia, Japan, Australia, Recycled/Scrap</t>
  </si>
  <si>
    <t>Castel San Pietro, Ticino, Switzerland</t>
  </si>
  <si>
    <t>Oliver Demierre</t>
  </si>
  <si>
    <t>olivier@mks.ch</t>
  </si>
  <si>
    <t>Brazil, Canada, China, USA, Japan, Mexico, South Africa, United Kingdom, Australia, Switzerland, Indonesia, DRC or an adjoining country (Covered Countries), Recycled/Scrap, Dominican Republic, Ecuador, Ghana, Guinea, Liberia, Malaysia, Mauritania, Peru, Argentina, Tanzania, Belgium</t>
  </si>
  <si>
    <t>1-11-11 Shiba Minato-Ku, Tokyo 105-0014, Japan</t>
  </si>
  <si>
    <t>Daiki Kuwahara</t>
  </si>
  <si>
    <t>d-kuwahara@ml.allied-material.co.jp</t>
  </si>
  <si>
    <t>China, Japan, Indonesia, Recycled/Scrap, USA, Portugal, Canada, Spain, Peru, Australia</t>
  </si>
  <si>
    <t>He Yu Village, He Yu Town, Luanchuan County, Luoyang City, Henan Province</t>
  </si>
  <si>
    <t>Yanhua Liu</t>
  </si>
  <si>
    <t>liuyanhua@cn.cmoc.com</t>
  </si>
  <si>
    <t>Due diligence results pending</t>
  </si>
  <si>
    <t>Recycled/Scrap</t>
  </si>
  <si>
    <t>284 Nishinokyo-cho Nara-shi Nara Japan</t>
  </si>
  <si>
    <t>Ohura Soichiro</t>
  </si>
  <si>
    <t>ohura.soichiro@ohura.co.jp</t>
  </si>
  <si>
    <t>Recycled/Scrap, Myanmar, Cambodia, Malaysia, Kazakhstan, Portugal, Austria, Mongolia, Luxembourg, Republic Of Korea, Guyana, Brazil, Chile, Laos, Colombia, Ecuador, Argentina, Hungary, Japan, India, Canada, Belgium, Namibia, China, South Africa, Peru, Germany, Ethiopia, Russia, Singapore, Vietnam, USA, Egypt, Madagascar, Sierra Leone, Ivory Coast, Bolivia, Thailand, Netherlands, Ireland, Slovakia, France, Nigeria, United Kingdom, Switzerland, Spain, Djibouti, Czech Republic, Zimbabwe, Suriname, Israel, Australia, Indonesia, Estonia, Republic</t>
  </si>
  <si>
    <t>Krasnoyarsk, Russian Federation</t>
  </si>
  <si>
    <t>Svetlana Chetverikova</t>
  </si>
  <si>
    <t>SChetverikova@krastsvetmet.ru</t>
  </si>
  <si>
    <t>Brazil, Indonesia, Russia, Recycled/Scrap, Germany, Japan</t>
  </si>
  <si>
    <t>Kazakhstan</t>
  </si>
  <si>
    <t>Ust-Kamenogorsk, Kazakhstan</t>
  </si>
  <si>
    <t>kazzinc@kazzinc.com</t>
  </si>
  <si>
    <t>Japan, China, Australia, Kazakhstan, Peru, Switzerland, Brazil, Chile, Recycled/Scrap, Indonesia, Republic Of Korea, Singapore</t>
  </si>
  <si>
    <t>Shandong Road, Penglai, Yantai, Shandong, China</t>
  </si>
  <si>
    <t>Ms. SU Jia (President)</t>
  </si>
  <si>
    <t>sujia928@126.com</t>
  </si>
  <si>
    <t>China, Recycled/Scrap</t>
  </si>
  <si>
    <t>Kuki, Saitama, Japan</t>
  </si>
  <si>
    <t>Naoji Yamada</t>
  </si>
  <si>
    <t>nao-yamada@tokuriki-kanda.co.jp</t>
  </si>
  <si>
    <t>Recycled/Scrap, Canada, China, USA, Japan, Australia, Chile, Peru, Indonesia</t>
  </si>
  <si>
    <t>Bolivia (Plurinational State Of)</t>
  </si>
  <si>
    <t>Operaciones Metalúrgicas SA Km. 3.5 Carretera a Capachos, Zona Industrial Huajara, Oruro, Bolivia</t>
  </si>
  <si>
    <t>Mariano Pero (General Manager)</t>
  </si>
  <si>
    <t>mpero@omsabo.com</t>
  </si>
  <si>
    <t>Bolivia, Indonesia, China, Recycled/Scrap</t>
  </si>
  <si>
    <t>2501 Camp Avenue, Carrollton, TX 75006 USA</t>
  </si>
  <si>
    <t>Debie Laughlin</t>
  </si>
  <si>
    <t>DLaughlin@uct.com</t>
  </si>
  <si>
    <t>Australia, Bolivia, Brazil, Ethiopia, India, Mozambique, Namibia, Rwanda, Sierra Leone, Zimbabwe, Recycled/Scrap, DRC or an adjoining country (Covered Countries), Burundi, Nigeria, China, USA, Poland</t>
  </si>
  <si>
    <t>Jl. TPA Lingkungan Kenanga Permai Kelurahan Kenanga, Kecamatan Sungailiat, Kabupaten Bangka, Propinsi Kepulauan Kepulauan Bangka Belitung</t>
  </si>
  <si>
    <t>Isa Suhardiman</t>
  </si>
  <si>
    <t>isa.suhardiman@gmail.com</t>
  </si>
  <si>
    <t>Indonesia, Myanmar, Cambodia, Malaysia, Kazakhstan, Portugal, Mongolia, Austria, Luxembourg, Republic Of Korea, Guyana, Brazil, Chile, Laos, Colombia, Ecuador, Argentina, Hungary, Japan, India, Canada, Belgium, Namibia, China, Peru, Germany, Ethiopia, Russia, Vietnam, Singapore, USA, Egypt, Madagascar, Sierra Leone, Ivory Coast, Thailand, Bolivia, Netherlands, Ireland, Slovakia, France, Nigeria, Uzbekistan, United Kingdom, Switzerland, Spain, Djibouti, Czech Republic, Zimbabwe, Mexico, Suriname, Israel, Australia, Estonia, Recycled/Scrap, DRC or an adjoining country (Covered Countries)</t>
  </si>
  <si>
    <t>OJSC Prioksky Non-Ferrous Metals Plant, Kasimov, Prioksky District, Ryazan region, 391303, Russia</t>
  </si>
  <si>
    <t>Vladimir Sonkin</t>
  </si>
  <si>
    <t>pzcm@zvetmet.ru</t>
  </si>
  <si>
    <t>Russia, Japan, Rwanda, Sierra Leone, Bolivia, India, Canada, Mozambique, Namibia, China, Brazil, Zimbabwe, Australia, Ethiopia, Germany, Indonesia, Recycled/Scrap</t>
  </si>
  <si>
    <t>Korea, Republic Of</t>
  </si>
  <si>
    <t>180 Unyong-ri, Dunpo-myeon, Asan-si, Chungcheongnam-do, South Korea</t>
  </si>
  <si>
    <t>Mr. JeUk You</t>
  </si>
  <si>
    <t>juyou@torecom.co.kr</t>
  </si>
  <si>
    <t>Russia, China, Republic Of Korea, Brazil, Mexico, Chile, Bolivia, Indonesia, Recycled/Scrap, Switzerland</t>
  </si>
  <si>
    <t>Ulba Metallurgical Plant JSC, 102, Abay Ave., 070005, Ust-Kamenogorsk, Republic of Kazakhstan</t>
  </si>
  <si>
    <t>Valerie Domas</t>
  </si>
  <si>
    <t>DomasVV@ulba.kz</t>
  </si>
  <si>
    <t>Kazakhstan, DRC or an adjoining country (Covered Countries), Recycled/Scrap, Russia, Zimbabwe, Rwanda, USA, Japan, DRC or an adjoining country (Covered Countries), Australia, Myanmar, Angola, Cambodia, Malaysia, Portugal, Austria, Mongolia, Mozambique, Luxembourg, Brazil, Republic Of Korea, Guyana, Chile, Laos, Colombia, Ecuador, Argentina, South Sudan, Hungary, Tanzania, Zambia, Belarus, India, Canada, Belgium, Namibia, China, Peru, Ethiopia, Germany, Burundi, Vietnam, Singapore, Egypt, Madagascar, Sierra Leone, Ivory Coast, Thailand, Bolivia, Netherlands, Ireland, Slovakia, France, Nigeria, United Kingdom, Switzerland, Spain, Djibouti, Czech Republic, Uganda, Suriname, Israel, Estonia, Indonesia, Mozambique, Kazakhstan</t>
  </si>
  <si>
    <t>Laizhou, Yantai Prefecture, Shandong Province, China</t>
  </si>
  <si>
    <t>Jiang Guochang 姜国昌</t>
  </si>
  <si>
    <t>ir@sd-gold.com</t>
  </si>
  <si>
    <t>China, Peru, Indonesia, Recycled/Scrap, Japan, Australia, USA</t>
  </si>
  <si>
    <t>2781 Townline Road, Alden, NY 14004 USA</t>
  </si>
  <si>
    <t>Mr. Michael Mikolay</t>
  </si>
  <si>
    <t>MMikolay@unitedpmr.com</t>
  </si>
  <si>
    <t>Canada, Russia, Belgium, USA, Japan, China, Thailand, Bolivia, Australia, Switzerland, Peru, Indonesia, Recycled/Scrap</t>
  </si>
  <si>
    <t>NO.98hujiabian road fengxin jiangxi China</t>
  </si>
  <si>
    <t>Jocelyn Liu</t>
  </si>
  <si>
    <t>jocelynliu@qq.com</t>
  </si>
  <si>
    <t>China, DRC or an adjoining country (Covered Countries), Recycled/Scrap, USA, Russia</t>
  </si>
  <si>
    <t>West Changjiang Road, Tongling City, Anhui Province, China, 244001</t>
  </si>
  <si>
    <t>Mr. Wan (万经理)</t>
  </si>
  <si>
    <t>Wan.J@jyqh.com.cn</t>
  </si>
  <si>
    <t>China, Recycled/Scrap, Japan, Germany, Vietnam</t>
  </si>
  <si>
    <t>Poland</t>
  </si>
  <si>
    <t>ul. M. Skłodowskiej-Curie 48, 59-301 Lubin, Poland</t>
  </si>
  <si>
    <t>Oskar Filipowski</t>
  </si>
  <si>
    <t>Oskar.Filipowski@kghm.com</t>
  </si>
  <si>
    <t>Chile, Poland, Thailand, Indonesia, Poland, Myanmar, Cambodia, Malaysia, Kazakhstan, Portugal, Mongolia, Austria, Luxembourg, Guyana, Brazil, Republic Of Korea, Laos, Ecuador, Colombia, Argentina, Hungary, Japan, India, Canada, Belgium, Namibia, China, Peru, Germany, Ethiopia, Russia, Vietnam, Singapore, USA, Egypt, Madagascar, Sierra Leone, Ivory Coast, Bolivia, Netherlands, Ireland, Slovakia, France, Nigeria, United Kingdom, Switzerland, Spain, Djibouti, Czech Republic, Zimbabwe, Suriname, Israel, Australia, Estonia</t>
  </si>
  <si>
    <t>Germany</t>
  </si>
  <si>
    <t>Plant Rhina, Ferroweg 1, 79725 Laufenburg (Baden)</t>
  </si>
  <si>
    <t>Dr. Markus Zumdick</t>
  </si>
  <si>
    <t>markus.zumdick@hcstarck.com</t>
  </si>
  <si>
    <t>Recycled/Scrap, Australia, Bolivia, Brazil, Burundi, DRC or an adjoining country (Covered Countries), Ethiopia, India, Mozambique, Namibia, Nigeria, Rwanda, Sierra Leone, Zimbabwe, Argentina, Austria, Belgium, Cambodia, Canada, Chile, China, Colombia, Ivory Coast, Czech Republic, Djibouti, Ecuador, Egypt, Estonia, France, Germany, Guyana, Hungary, Indonesia, Ireland, Israel, Japan, Kazakhstan, United Kingdom, Netherlands, USA, Vietnam, Portugal, Thailand, Slovakia, Suriname, Mongolia, Malaysia, Singapore, Laos, Russia, Spain, Vietnam,  Myanmar, Luxembourg, Republic Of Korea, Madagascar, Switzerland, Or DRC Sourced But Not All</t>
  </si>
  <si>
    <t>Mexico</t>
  </si>
  <si>
    <t>Carlos Salazar 15, 67192 Matamoros, Tamaulipas, Mexico</t>
  </si>
  <si>
    <t>Carlota Garza</t>
  </si>
  <si>
    <t>CarlotaGarza@kemet.com</t>
  </si>
  <si>
    <t>DRC or an adjoining country (Covered Countries), Myanmar, Angola, Cambodia, Malaysia, Kazakhstan, Portugal, Mongolia, Austria, Mozambique, Mali, Luxembourg, Guyana, Republic Of Korea, Brazil, Chile, Laos, Colombia, Ecuador, Argentina, South Sudan, Hungary, Japan, Tanzania, Ghana, Zambia, India, Canada, Belgium, Namibia, China, South Africa, Central African Republic, Peru, Germany, Ethiopia, Burundi, Russia, Singapore, Vietnam, Guinea, USA, Egypt, Madagascar, Sierra Leone, Ivory Coast, Thailand, Bolivia, Netherlands, Ireland, Slovakia, Nigeria, France, Niger, Rwanda, United Kingdom, Switzerland, Spain, Djibouti, Czech Republic, Zimbabwe, Mexico, Uganda, Suriname, Israel, Australia, Indonesia, Estonia, Recycled/Scrap</t>
  </si>
  <si>
    <t>Belgium</t>
  </si>
  <si>
    <t>Hoboken, Belgium</t>
  </si>
  <si>
    <t>Jan Robbroeckx</t>
  </si>
  <si>
    <t>jan.robbroeckx@eu.umicore.com</t>
  </si>
  <si>
    <t>Canada, China, Japan, Bolivia, Belgium, Recycled/Scrap</t>
  </si>
  <si>
    <t>Plant Goslar, Im Schleeke 78-91, 38642 Goslar</t>
  </si>
  <si>
    <t>Recycled/Scrap, Australia, Bolivia, Canada, Portugal, Russia, Spain, Vietnam,  Myanmar, Cambodia, Malaysia, Kazakhstan, Austria, Mongolia, Mozambique, Luxembourg, Brazil, Republic Of Korea, Guyana, Chile, Laos, Colombia, Ecuador, Argentina, Hungary, Japan, India, Belgium, Namibia, China, Peru, Ethiopia, Germany, Singapore, Vietnam, USA, Egypt, Sierra Leone, Madagascar, Ivory Coast, Thailand, Netherlands, Ireland, Slovakia, France, Nigeria, Rwanda, United Kingdom, Switzerland, Djibouti, Czech Republic, Zimbabwe, Suriname, Israel, Indonesia, Estonia</t>
  </si>
  <si>
    <t>Sizhuyuan, Suxian District, Chenzhou City, Hunan Province, China</t>
  </si>
  <si>
    <t>Miss Qi Yin</t>
  </si>
  <si>
    <t>qiyin@minmetals.com</t>
  </si>
  <si>
    <t>China, Recycled/Scrap, Myanmar, Cambodia, Malaysia, Kazakhstan, Portugal, Austria, Mongolia, Luxembourg, Republic Of Korea, Guyana, Brazil, Chile, Laos, Ecuador, Colombia, Argentina, Hungary, Japan, India, Canada, Belgium, Namibia, Peru, Ethiopia, Germany, Russia, Singapore, Vietnam, USA, Egypt, Madagascar, Sierra Leone, Ivory Coast, Bolivia, Thailand, Netherlands, Ireland, Slovakia, Nigeria, France, United Kingdom, Switzerland, Spain, Djibouti, Czech Republic, Zimbabwe, Suriname, Israel, Australia, Estonia, Indonesia, Others Not Disclosed</t>
  </si>
  <si>
    <t>Taiwan, Province Of China</t>
  </si>
  <si>
    <t>No. 13 Gong 1st Rd. Dayuan Township, Taoyuan Country, Taiwan 33759 R.O.C.</t>
  </si>
  <si>
    <t>Serena Tsai</t>
  </si>
  <si>
    <t>serena@sing-way.com</t>
  </si>
  <si>
    <t>Myanmar, Cambodia, Malaysia, Kazakhstan, Portugal, Mongolia, Austria, Luxembourg, Guyana, Republic Of Korea, Brazil, Chile, Laos, Ecuador, Colombia, Argentina, Hungary, Japan, India, Canada, Belgium, Namibia, China, Peru, Germany, Ethiopia, Russia, Singapore, Vietnam, USA, Egypt, Sierra Leone, Madagascar, Ivory Coast, Bolivia, Thailand, Netherlands, Slovakia, Nigeria, France, United Kingdom, Switzerland, Spain, Djibouti, Czech Republic, Zimbabwe, Suriname, Israel, Australia, Indonesia, Estonia, Recycled/Scrap, Ireland</t>
  </si>
  <si>
    <t>Schwenninger Straße 13, 75119 Pforzheim</t>
  </si>
  <si>
    <t>Stefan Helmling</t>
  </si>
  <si>
    <t>helmling@wieland-edelmetalle.de</t>
  </si>
  <si>
    <t>Germany, Switzerland, Recycled/Scrap</t>
  </si>
  <si>
    <t>18 Kosyakova Street, 1140730 Roshal, Russian Federation</t>
  </si>
  <si>
    <t>German Veisman</t>
  </si>
  <si>
    <t>german@nordmet.ch</t>
  </si>
  <si>
    <t>Russia</t>
  </si>
  <si>
    <t>Jiu Er Industrial Area, Jun Men Ling Town, HuiChang County, Ganzhou City, Jiangxi Province, China</t>
  </si>
  <si>
    <t>Mr. Peng Xu</t>
  </si>
  <si>
    <t>470977527@qq.com</t>
  </si>
  <si>
    <t>North Macedonia</t>
  </si>
  <si>
    <t>Strchek 91B 1230, Balin Dol, North Macedonia</t>
  </si>
  <si>
    <t>Simon Harris</t>
  </si>
  <si>
    <t>simon.harris@metalysis.com</t>
  </si>
  <si>
    <t>DRC or an adjoining country (Covered Countries)</t>
  </si>
  <si>
    <t>Jl.Ketapang, Kawasan Industri, Kota Pangkalpinang</t>
  </si>
  <si>
    <t>Jenni Kusmiadi</t>
  </si>
  <si>
    <t>jennikusmiadi@yahoo.co.id</t>
  </si>
  <si>
    <t>Myanmar, Cambodia, Malaysia, Kazakhstan, Portugal, Austria, Mongolia, Luxembourg, Guyana, Brazil, Republic Of Korea, Chile, Laos, Ecuador, Colombia, Argentina, Hungary, Japan, India, Canada, Belgium, Namibia, China, Peru, Ethiopia, Germany, Russia, Singapore, Vietnam, USA, Egypt, Madagascar, Sierra Leone, Ivory Coast, Bolivia, Thailand, Netherlands, Ireland, Slovakia, Nigeria, France, United Kingdom, Switzerland, Spain, Djibouti, Czech Republic, Zimbabwe, Suriname, Israel, Australia, Estonia, Indonesia</t>
  </si>
  <si>
    <t>Myanmar</t>
  </si>
  <si>
    <t>Tin Smelting and Refining Plant, Thanlyin District, Yangon, Myanmar</t>
  </si>
  <si>
    <t>Khin Pe</t>
  </si>
  <si>
    <t>tsrp.me2@gmail.com</t>
  </si>
  <si>
    <t>Canada, China, USA, Uzbekistan, Bermuda, Malaysia, Chile, Australia, Peru, Indonesia, Myanmar</t>
  </si>
  <si>
    <t>105 Bellows St, Warwick, RI 02888</t>
  </si>
  <si>
    <t>Lauren Faella</t>
  </si>
  <si>
    <t>lfaella@adchem.com</t>
  </si>
  <si>
    <t>USA, Peru, Indonesia, Brazil, China, Recycled/Scrap, Chile</t>
  </si>
  <si>
    <t>Viet Nam</t>
  </si>
  <si>
    <t>Hamlet 11, Ha Thuong commune, Dai Tu Dist., Thai Nguyen, Vietnam</t>
  </si>
  <si>
    <t>Mr. Mirek Banaczkowski</t>
  </si>
  <si>
    <t>Mirek.Banaczkowski@mr.masangroup.com</t>
  </si>
  <si>
    <t>Recycled/Scrap, Myanmar, Cambodia, Malaysia, Kazakhstan, Portugal, Austria, Mongolia, Luxembourg, Guyana, Republic Of Korea, Brazil, Chile, Laos, Colombia, Ecuador,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 DRC or an adjoining country (Covered Countries)</t>
  </si>
  <si>
    <t>Thailand</t>
  </si>
  <si>
    <t>5, I-3A Road, Map Ta Phut Industrial Estate, Rayong 21150, Thailand</t>
  </si>
  <si>
    <t>Frank Habig</t>
  </si>
  <si>
    <t>Frank.Habig@taniobis.com</t>
  </si>
  <si>
    <t>Australia, Bolivia, Brazil, Burundi, DRC or an adjoining country (Covered Countries), Ethiopia, India, Mozambique, Namibia, Nigeria, Rwanda, Sierra Leone, Zimbabwe, Myanmar, Angola, Cambodia, Malaysia, Kazakhstan, Portugal, Austria, Mongolia, Luxembourg, Guyana, Republic Of Korea, Chile, Laos, Ecuador, Colombia, Argentina, Hungary, South Sudan, Japan, Tanzania, Zambia, Canada, Belgium, China, South Africa, Peru, Germany, Russia, Vietnam, Singapore, USA, Egypt, Madagascar, Ivory Coast, Thailand, Netherlands, Ireland, Slovakia, France, United Kingdom, Kenya, Switzerland, Spain, Djibouti, Czech Republic, Uganda, Mexico, Suriname, Israel, Estonia, Indonesia, Recycled/Scrap, Slovenia</t>
  </si>
  <si>
    <t>Sapia Tower 11F, 1-7-12 Marunouchi, Chiyoda-ku, Tokyo, 100-0005, Japan</t>
  </si>
  <si>
    <t>Takatsugu Motoki (Assistant General Manager)</t>
  </si>
  <si>
    <t>t-motoki@asahipretec.com</t>
  </si>
  <si>
    <t>Recycled/Scrap, Brazil, United Kingdom, Indonesia, Papua New Guinea, Australia, Argentina, Chile, Peru, Canada, Japan, USA, China, Germany, Switzerland</t>
  </si>
  <si>
    <t>Hamburg, Germany</t>
  </si>
  <si>
    <t>Steffi Greif</t>
  </si>
  <si>
    <t>s.greif@aurubis.com</t>
  </si>
  <si>
    <t>Canada, China, USA, Uzbekistan, Malaysia, Bermuda, Australia, Chile, Peru, Indonesia, Brazil, Bulgaria, Recycled/Scrap, Japan, Germany, Germany, Turkey, Republic Of Korea, DRC or an adjoining country (Covered Countries)</t>
  </si>
  <si>
    <t>F/5 TRAVEL BUILDING PEASANT ROAD Gansu Lanzhou, Gansu 730000 China</t>
  </si>
  <si>
    <t>Yang Xinjun</t>
  </si>
  <si>
    <t>492801777@qq.com</t>
  </si>
  <si>
    <t>Uzbekistan</t>
  </si>
  <si>
    <t>210100, Navoi city, Navoi str. 27, Uzbekistan</t>
  </si>
  <si>
    <t>Mr. Beknazarov (Foreign Economic Relations Dept.), Hasan Safarov (Head of Board for Foreign Economic Relations and Marketing, State Company "Navoi Mining and Metallurgical Combinat")</t>
  </si>
  <si>
    <t>l.beknazarov@ngmk.uz</t>
  </si>
  <si>
    <t>Recycled/Scrap, USA, China, Uzbekistan, Indonesia</t>
  </si>
  <si>
    <t xml:space="preserve">62 Mira Street , Novosibirsk, Novosibirsk Oblast, Russia, 630033 </t>
  </si>
  <si>
    <t>Vladimir Gorodetsky</t>
  </si>
  <si>
    <t>svo2@nok.ru</t>
  </si>
  <si>
    <t>Indonesia, Russia, Recycled/Scrap</t>
  </si>
  <si>
    <t>Zimbabwe</t>
  </si>
  <si>
    <t>No. 1 George Drive, Msasa, Harare, Zimbabwe</t>
  </si>
  <si>
    <t>Fradreck Kunaka (Acting Chief Executive Officer)</t>
  </si>
  <si>
    <t>fkunaka@fpr.co.zw</t>
  </si>
  <si>
    <t>Zimbabwe, USA</t>
  </si>
  <si>
    <t>Shandong, China</t>
  </si>
  <si>
    <t>sd002237@163.com</t>
  </si>
  <si>
    <t>1st Workshop Minxing Industrial Estate Minkang Road, Minzhi Baoan, Shenzhen,Guangdong, China</t>
  </si>
  <si>
    <t>Uganda</t>
  </si>
  <si>
    <t>Kampala Road, Entebbe, Wakiso</t>
  </si>
  <si>
    <t>Alain Goetz</t>
  </si>
  <si>
    <t>admin@agr-afr.com</t>
  </si>
  <si>
    <t>Ghana</t>
  </si>
  <si>
    <t>Kotoka International Airport Along Gate 44 Post Office Box PMB CT 138 Accra</t>
  </si>
  <si>
    <t>Anil Kansara</t>
  </si>
  <si>
    <t>akansara@gcr-Itd.com</t>
  </si>
  <si>
    <t>Smelting Chemical Industry Park, Jinding Industry Park, Linxi county, Chifeng city, Inner Mongolia</t>
  </si>
  <si>
    <t>Mr. Zhao Lizhi (Sale Director)</t>
  </si>
  <si>
    <t>406815194@qq.com</t>
  </si>
  <si>
    <t>34-29 Dojang-ro, Chopyeong-myeon, Jincheon-gun, Chungcheongbuk-do, Korea</t>
  </si>
  <si>
    <t>Mr. JooHwan Choi</t>
  </si>
  <si>
    <t>jhchoi2@tsk.co.kr</t>
  </si>
  <si>
    <t>Republic Of Korea</t>
  </si>
  <si>
    <t>1, Lenin Str., Verkhnaya Pyshma, Sverdlovsk region, 624091</t>
  </si>
  <si>
    <t>aouralem@elem.ru</t>
  </si>
  <si>
    <t>Russia, China, Brazil, Australia, Switzerland, Recycled/Scrap</t>
  </si>
  <si>
    <t>Ningxia Orient Tantalum Industry Co. Ltd., No. 119 Yejin Road, Dawukou District, Shizuishan City, 753000 Ningxia, China</t>
  </si>
  <si>
    <t>Mr. Chen Wu</t>
  </si>
  <si>
    <t>chenw_nniec@otic.com.cn</t>
  </si>
  <si>
    <t>Ethiopia, Brazil, China, Recycled/Scrap, Australia, Rwanda, Australia, DRC or an adjoining country (Covered Countries), Myanmar, Angola, Cambodia, Malaysia, Kazakhstan, Portugal, Austria, Mongolia, Mozambique, Luxembourg, Republic Of Korea, Guyana, Chile, Laos, Ecuador, Colombia, Argentina, South Sudan, Hungary, Japan, Tanzania, Zambia, India, Canada, Belgium, Namibia, Central African Republic, Peru, Germany, Russia, Burundi, Singapore, Vietnam, USA, Egypt, Sierra Leone, Madagascar, Ivory Coast, Bolivia, Thailand, Netherlands, Ireland, Slovakia, Nigeria, France, Niger, United Kingdom, Switzerland, Spain, Djibouti, Czech Republic, Mexico, Uganda, Zimbabwe, Suriname, Israel, Estonia, Indonesia, Slovenia</t>
  </si>
  <si>
    <t>DRC or an adjoining country (Covered Countries), Myanmar, Angola, Cambodia, Malaysia, Kazakhstan, Portugal, Mongolia, Austria, Mozambique, Luxembourg, Brazil, Republic Of Korea, Guyana, Chile, Laos, Colombia, Ecuador, Argentina, Hungary, South Sudan, Japan, Tanzania, Zambia, India, Canada, Belgium, Namibia, China, Central African Republic, Peru, Germany, Ethiopia, Russia, Burundi, Singapore, Vietnam, USA, Egypt, Sierra Leone, Madagascar, Ivory Coast, Bolivia, Thailand, Netherlands, Ireland, Slovakia, France, Nigeria, Rwanda, United Kingdom, Switzerland, Spain, Djibouti, Czech Republic, Zimbabwe, Uganda, Suriname, Israel, Australia, Estonia, Indonesia, Recycled/Scrap, Australia, Vietnam,  Mozambique</t>
  </si>
  <si>
    <t>45 Industrial Place, Newton, MA 02461-1951</t>
  </si>
  <si>
    <t>Mark Smolinsky</t>
  </si>
  <si>
    <t>mark.smolinsky@taniobis.com</t>
  </si>
  <si>
    <t>Australia, Bolivia, Brazil, Ethiopia, India, Mozambique, Namibia, Rwanda, Sierra Leone, Zimbabwe, Burundi, Namibia, Nigeria, DRC or an adjoining country (Covered Countries), USA, Japan, Canada, China, Germany, Recycled/Scrap, Russia, Australia, Slovenia</t>
  </si>
  <si>
    <t>Pinthong Industrial Estate, 789/101 Moo 1, Nongkoh-Laemchabang Road, Nongkham, Sriracha, Chonburi 20230, Thailand</t>
  </si>
  <si>
    <t>Ms. Orawan Suapa</t>
  </si>
  <si>
    <t>rmi@omthai.co.th</t>
  </si>
  <si>
    <t>Thailand, China, DRC or an adjoining country (Covered Countries), Recycled/Scrap, DRC or an adjoining country (Covered Countries), Netherlands, Philippines, USA, Vietnam, Brazil</t>
  </si>
  <si>
    <t>Toyo, Saijo, Japan</t>
  </si>
  <si>
    <t>Akira Nozaki; Seiji Kaneko</t>
  </si>
  <si>
    <t>Funsokobutsu_Kin_Kinzoku@ni.smm.co.jp</t>
  </si>
  <si>
    <t>Japan, Australia, Recycled/Scrap, USA, Chile</t>
  </si>
  <si>
    <t>1090-3 Otani, Kamibun, Kagami-cho, Konan-shi</t>
  </si>
  <si>
    <t>Hiroyuki Itoigawa</t>
  </si>
  <si>
    <t>itoigawa@yamakin-gold.co.jp</t>
  </si>
  <si>
    <t>Canada, Mozambique, USA, China, Japan, Brazil, Australia, Japan, Australia, Germany, Recycled/Scrap, DRC or an adjoining country (Covered Countries), Russia, Mexico, Switzerland, Indonesia</t>
  </si>
  <si>
    <t>6-15-13 Minami-cho, Fuchu-shi, Tokyo, 1830026 Japan</t>
  </si>
  <si>
    <t>Seigo Mukoyama</t>
  </si>
  <si>
    <t>smukoyama@aida-j.jp</t>
  </si>
  <si>
    <t>Recycled/Scrap, Japan, Canada, Bolivia, Peru, Portugal, Spain, DRC or an adjoining country (Covered Countries), Australia, Indonesia</t>
  </si>
  <si>
    <t>Gedung Aneka Tambang, Jl. Letjen TB Simatupang No. 1 Lingkar Selatan, Tanjung Barat, Jakarta 12530, Indonesia</t>
  </si>
  <si>
    <t>Diana Budiani Rahmawati</t>
  </si>
  <si>
    <t>diana@pttimah.co.id</t>
  </si>
  <si>
    <t>Canada, Brazil, Malaysia, Australia, Bolivia, Chile, Switzerland, Peru, Ethiopia, Germany, Indonesia, Recycled/Scrap, China, Russia, South Africa, USA</t>
  </si>
  <si>
    <t>010000 Astana, Turan Ave, 37 А, Business Center «Han Shatyr», 12th floor</t>
  </si>
  <si>
    <t>Kantarbekov Erkebulan</t>
  </si>
  <si>
    <t>sales@kazakhmys.kz</t>
  </si>
  <si>
    <t>Kazakhstan, Kyrgyzstan, China, Japan</t>
  </si>
  <si>
    <t>Kyrgyzstan</t>
  </si>
  <si>
    <t>195, Abdymomunova Str., Bishkek city, Postal code: 720040, The Kyrgyz Republic (KYRGYZSTAN)</t>
  </si>
  <si>
    <t>Aliya Sultanova</t>
  </si>
  <si>
    <t>sultanova@kyrgyzaltyn.kg</t>
  </si>
  <si>
    <t>Brazil, Australia, Kyrgyzstan, Republic Of Korea, Recycled/Scrap, Japan</t>
  </si>
  <si>
    <t>Saudi Arabia</t>
  </si>
  <si>
    <t>L'Azurde Company for Jewelry Building, Al Masaref Street, Riyadh Industrial Area 2, 41270, Saudi Arabia</t>
  </si>
  <si>
    <t>Kannan Ramaseshan</t>
  </si>
  <si>
    <t>kannan.ramseshan@lazurde.com</t>
  </si>
  <si>
    <t>Saudi Arabia, Canada, Japan, China, Australia, Egypt, Recycled/Scrap</t>
  </si>
  <si>
    <t>Ganzhou City, Jiangxi Province, P.R.China</t>
  </si>
  <si>
    <t>Chang Yuzhong</t>
  </si>
  <si>
    <t>dept1@cniecjx.com.cn</t>
  </si>
  <si>
    <t>China, Japan, USA, Recycled/Scrap</t>
  </si>
  <si>
    <t>Robert-Friese-Straße 4, 07629 Hermsdorf</t>
  </si>
  <si>
    <t>Mandy von der Goenne</t>
  </si>
  <si>
    <t>mandy.vondergoenne@taniobis.com</t>
  </si>
  <si>
    <t>Australia, Bolivia, Brazil, Burundi, DRC or an adjoining country (Covered Countries), Ethiopia, India, Mozambique, Namibia, Nigeria, Rwanda, Sierra Leone, Zimbabwe, Myanmar, Cambodia, Malaysia, Kazakhstan, Portugal, Austria, Mongolia, Luxembourg, Republic Of Korea, Guyana, Chile, Laos, Colombia, Ecuador, Argentina, Hungary, Japan, Canada, Belgium, China, Peru, Germany, Russia, Vietnam, Singapore, USA, Egypt, Madagascar, Ivory Coast, Thailand, Netherlands, Ireland, Slovakia, France, United Kingdom, Switzerland, Spain, Djibouti, Czech Republic, Suriname, Israel, Estonia, Indonesia, Recycled/Scrap, Philippines</t>
  </si>
  <si>
    <t>No10, Wenqing Road, Zhanggong District, Ganzhou, Jiangxi</t>
  </si>
  <si>
    <t>Ms. Huang</t>
  </si>
  <si>
    <t>13426541408@126.com</t>
  </si>
  <si>
    <t>China, DRC or an adjoining country (Covered Countries), Canada, Russia, Mozambique, Brazil, Thailand, Australia</t>
  </si>
  <si>
    <t>Changlong Town, Chongyi County, Ganzhou City, Jiangxi Province, China</t>
  </si>
  <si>
    <t>China, DRC or an adjoining country (Covered Countries), Canada, Russia, Brazil, Malaysia, Australia, Bolivia, Peru, Indonesia, Recycled/Scrap, Japan</t>
  </si>
  <si>
    <t>PO Box 398, Depew, NY, USA 14043</t>
  </si>
  <si>
    <t>Roger Showalter</t>
  </si>
  <si>
    <t>roger@buffalotungsten.com</t>
  </si>
  <si>
    <t>Myanmar, Cambodia, Malaysia, Kazakhstan, Portugal, Austria, Mongolia, Luxembourg, Republic Of Korea, Guyana, Brazil,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Mexico, Suriname, Israel, Australia, Indonesia, Estonia, Recycled/Scrap, DRC or an adjoining country (Covered Countries)</t>
  </si>
  <si>
    <t>Philippines</t>
  </si>
  <si>
    <t>Phase 3 Block 15-A Lot 1, Cavite Economic Zone, 4106 Rosario Cavite, Philippines</t>
  </si>
  <si>
    <t>Ms. Vangie Punongbayan</t>
  </si>
  <si>
    <t>eb.punongbayan@omp.com.ph</t>
  </si>
  <si>
    <t>Philippines, Recycled/Scrap, Canada, Japan, China, Brazil, Malaysia, Bolivia, Peru, Thailand</t>
  </si>
  <si>
    <t>India</t>
  </si>
  <si>
    <t>5A, Trishla Premises, 5th floor, 122 Sheikh Memon Street, Mumbai 400 002, India</t>
  </si>
  <si>
    <t>investorinfo@shirpurgold.com</t>
  </si>
  <si>
    <t>Erzstraße 5, 09633 Halsbrücke</t>
  </si>
  <si>
    <t>Sylvia Fehse</t>
  </si>
  <si>
    <t>fehse@saxonia.de</t>
  </si>
  <si>
    <t>Myanmar, Cambodia, Malaysia, Kazakhstan, Portugal, Austria, Mongolia, Luxembourg, Brazil, Guyana, Republic Of Korea, Chile, Laos, Colombia, Ecuador, Argentina, Hungary, Japan, India, Canada, Belgium, Namibia, China, Peru, Ethiopia, Germany, Russia, Vietnam, Singapore, USA, Egypt, Madagascar, Sierra Leone, Ivory Coast, Bolivia, Thailand, Netherlands, Slovakia, France, Nigeria, United Kingdom, Switzerland, Spain, Djibouti, Czech Republic, Zimbabwe, Suriname, Israel, Australia, Estonia, Indonesia, Recycled/Scrap</t>
  </si>
  <si>
    <t>Concentration area, Xinshi Industrial Park, Bowang District, Ma'anshan City, Anhui Province</t>
  </si>
  <si>
    <t>Ms. Liu Huan</t>
  </si>
  <si>
    <t>164600879@qq.com</t>
  </si>
  <si>
    <t>Dennigstraße 16 – 75179, Pforzheim, Germany</t>
  </si>
  <si>
    <t>Eduard Stefanescu</t>
  </si>
  <si>
    <t>stefanescued@heimerle-meule.com</t>
  </si>
  <si>
    <t>Germany, Recycled/Scrap, China, Philippines, Malaysia, Canada, Austria, Mongolia, Mozambique, Mexico, South Africa, USA, Australia, Turkey, Italy</t>
  </si>
  <si>
    <t>Hang Tuah Road No. 4 Prayun, Tanjung Balai Karimun regional,Kepulauan Riau Province</t>
  </si>
  <si>
    <t>Ahmad Fajri Akhinov</t>
  </si>
  <si>
    <t>ahmad.fajri@pttimah.co.id</t>
  </si>
  <si>
    <t>Indonesia, Brazil, Peru, Recycled/Scrap</t>
  </si>
  <si>
    <t>RAYA TIMAH ROAD NUMBER 1 MENTOK, WEST BANGKA, BANGKA BELITUNG ISLANDS PROVINCE</t>
  </si>
  <si>
    <t>DRC or an adjoining country (Covered Countries), Myanmar, Cambodia, Malaysia, Kazakhstan, Portugal, Austria, Mongolia, Luxembourg, Brazil, Republic Of Korea, Guyana, Chile, Laos, Ecuador, Colombia, Argentina, Hungary, Japan, India, Canada, Belgium, Namibia, China, Peru, Germany, Ethiopia, Russia, Burundi, Singapore, Vietnam, USA, Egypt, Madagascar, Sierra Leone, Ivory Coast, Bolivia, Thailand, Netherlands, Ireland, Slovakia, France, Nigeria, Niger, Rwanda, United Kingdom, Switzerland, Spain, Djibouti, Czech Republic, Zimbabwe, Suriname, Israel, Australia, Estonia, Indonesia, Recycled/Scrap</t>
  </si>
  <si>
    <t>Edison Silalahi</t>
  </si>
  <si>
    <t>edisonrs@yahoo.com</t>
  </si>
  <si>
    <t>La Chaux-de-Fonds, Switzerland</t>
  </si>
  <si>
    <t>Jerome Tirmarche</t>
  </si>
  <si>
    <t>jerome.tirmarche@pxgroup.com</t>
  </si>
  <si>
    <t>Canada, Mozambique, Australia, Switzerland, Peru, Recycled/Scrap, Brazil, Ethiopia, China, Russia, Indonesia</t>
  </si>
  <si>
    <t>Shyolkovo, Russia</t>
  </si>
  <si>
    <t>info@zavodvdm.ru</t>
  </si>
  <si>
    <t>Russia, China, Germany, Indonesia, USA, Recycled/Scrap</t>
  </si>
  <si>
    <t>Im Altgefall 12 D-75181 Pforzheim Germany</t>
  </si>
  <si>
    <t>Fabian Gall</t>
  </si>
  <si>
    <t>FGall@doduco.net</t>
  </si>
  <si>
    <t>Recycled/Scrap, Canada, China, USA, Japan, Chile, Australia, Peru, Germany, Brazil, Indonesia</t>
  </si>
  <si>
    <t>Novosibirsk Refinery Plant 103 Kirov Street, Novosibirsk 630008 Russia</t>
  </si>
  <si>
    <t>Kirill Guzenkov</t>
  </si>
  <si>
    <t>gkv@nok.ru</t>
  </si>
  <si>
    <t>Canada, Russia, China, Philippines, Brazil, Italy, Malaysia, Bolivia, Switzerland, Peru, Recycled/Scrap, Indonesia, Japan, Austria, USA, DRC or an adjoining country (Covered Countries)</t>
  </si>
  <si>
    <t>Guanzhuang Town, Yuanling, Hunan, China</t>
  </si>
  <si>
    <t>Cici</t>
  </si>
  <si>
    <t>7231684@qq.com</t>
  </si>
  <si>
    <t>Canada, Mozambique, China, Australia, Switzerland, Myanmar, Cambodia, Malaysia, Kazakhstan, Portugal, Austria, Mongolia, Luxembourg, Brazil, Guyana, Republic Of Korea, Chile, Laos, Ecuador, Colombia, Argentina, Hungary, Japan, India, Belgium, Namibia, Peru, Germany, Ethiopia, Russia, Vietnam, Singapore, USA, Egypt, Sierra Leone, Madagascar, Ivory Coast, Bolivia, Thailand, Netherlands, Ireland, Slovakia, Nigeria, France, United Kingdom, Spain, Djibouti, Czech Republic, Zimbabwe, Suriname, Israel, Indonesia, Estonia, Recycled/Scrap, DRC or an adjoining country (Covered Countries)</t>
  </si>
  <si>
    <t>27/F ,Building 2, Xiangyuzhongyang, No.253, WuYi Road, Changsha, Hunan, China</t>
  </si>
  <si>
    <t>Liu Liling 刘莉玲</t>
  </si>
  <si>
    <t>lesleyliu619@163.com</t>
  </si>
  <si>
    <t>Changsha South Tantalum Niobium Co., Ltd. Dagualing Village, Huangxing Town, Changsha Hunan 410129, China</t>
  </si>
  <si>
    <t>Ivy Du</t>
  </si>
  <si>
    <t>ivydu@csnftn.cn</t>
  </si>
  <si>
    <t>Marunouchi Bldg. 12F, 2-4-1 Marunouchi, Chiyoda-ku, Tokyo, 100-6312, Japan</t>
  </si>
  <si>
    <t>Mr. Futoshi Sasaki</t>
  </si>
  <si>
    <t>info@chugaikogyo.co.jp</t>
  </si>
  <si>
    <t>Canada, USA, Japan, Australia, Chile, Peru, Indonesia, Recycled/Scrap, Germany, Turkey</t>
  </si>
  <si>
    <t>Av. Joao Ferreira Penna, 281 Distrito industrial III,  CEP 14707-202 Bebedouro, Sao Paulo, Brazil</t>
  </si>
  <si>
    <t>Paulo Toledo</t>
  </si>
  <si>
    <t>paulotoledo@softmetais.com.br</t>
  </si>
  <si>
    <t>Recycled/Scrap, Austria, Bolivia, Brazil, Burundi, DRC or an adjoining country (Covered Countries), Ethiopia, India, Mozambique, Namibia, Nigeria, Rwanda, Sierra Leone, Zimbabwe, Myanmar, Cambodia, Malaysia, Kazakhstan, Portugal, Mongolia, Luxembourg, Republic Of Korea, Guyana, Chile, Laos, Ecuador, Colombia, Argentina, Hungary, Japan, Canada, Belgium, China, Peru, Germany, Russia, Singapore, Vietnam, USA, Egypt, Madagascar, Ivory Coast, Thailand, Netherlands, Ireland, Slovakia, France, United Kingdom, Switzerland, Djibouti, Czech Republic, Suriname, Israel, Indonesia, Australia, Estonia, Brazil</t>
  </si>
  <si>
    <t>No. 16, Gong 1st Rd., Liuying District, Tainan City, 73659 Taiwan</t>
  </si>
  <si>
    <t>Ms. Claire Lin; Ava Hsieh</t>
  </si>
  <si>
    <t>claire.lin@solartech.com.tw</t>
  </si>
  <si>
    <t>Recycled/Scrap, China, Myanmar, Cambodia, Malaysia, Kazakhstan, Portugal, Austria, Mongolia, Luxembourg, Brazil, Republic Of Korea, Guyana, Chile, Laos, Colombia, Ecuador, Argentina, Hungary, Japan, India, Canada, Belgium, Namibia, Peru, Germany, Ethiopia, Russia, Vietnam, Singapore, USA, Egypt, Sierra Leone, Madagascar, Ivory Coast, Bolivia, Thailand, Netherlands, Ireland, Slovakia, France, Nigeria, United Kingdom, Switzerland, Djibouti, Czech Republic, Zimbabwe, Suriname, Israel, Australia, Estonia, Indonesia, Suri</t>
  </si>
  <si>
    <t>Unit D 1&amp;2 Greenmiles Compound, Iglesia ni Cristo St., Sta. Rosa 1, Marilao, Bulacan, Philippines P.C. 3019</t>
  </si>
  <si>
    <t>Lily Zhang</t>
  </si>
  <si>
    <t>josephine08@163.com</t>
  </si>
  <si>
    <t>Recycled/Scrap, Philippines</t>
  </si>
  <si>
    <t>Zhongduan Soiuth Road, Industry Park Zone, Xinfeng County</t>
  </si>
  <si>
    <t>Yvette</t>
  </si>
  <si>
    <t>251106295@qq.com</t>
  </si>
  <si>
    <t>China, Thailand</t>
  </si>
  <si>
    <t>Dusun Padang RT07, Desa Mentawak, Kecamatan Kelapa Kampit, Provinsi Kepulauan Kepulauan Bangka Belitung, Indonesia</t>
  </si>
  <si>
    <t>Mr. Achmad Albani</t>
  </si>
  <si>
    <t>albani7878@yahoo.com</t>
  </si>
  <si>
    <t>Australia, Indonesia, China, Recycled/Scrap</t>
  </si>
  <si>
    <t>RUA SÃO MARCOS, 237 DISTRITO INDUSTRIAL</t>
  </si>
  <si>
    <t>Yuri Darian</t>
  </si>
  <si>
    <t>aclmetais@aclmetais.com.br</t>
  </si>
  <si>
    <t>Brazil, Japan</t>
  </si>
  <si>
    <t>Fallon, NV</t>
  </si>
  <si>
    <t>Recycled/Scrap, USA, Russia, Vietnam, China, Bolivia, Portugal, Indonesia, Mexico, DRC or an adjoining country (Covered Countries)</t>
  </si>
  <si>
    <t>Magna, Utah, USA</t>
  </si>
  <si>
    <t>Bill Adams</t>
  </si>
  <si>
    <t>william.adams@riotinto.com</t>
  </si>
  <si>
    <t>USA, China, DRC or an adjoining country (Covered Countries), Myanmar, Cambodia, Malaysia, Kazakhstan, Portugal, Mongolia, Austria, Luxembourg, Brazil, Republic Of Korea, Guyana, Chile, Laos, Colombia, Ecuador, Argentina, Hungary, Japan, India, Canada, Belgium, Namibia, Peru, Germany, Ethiopia, Russia, Singapore, Vietnam, Egypt, Sierra Leone, Madagascar, Ivory Coast, Bolivia, Thailand, Netherlands, Ireland, Slovakia, Nigeria, France, Rwanda, United Kingdom, Switzerland, Spain, Djibouti, Czech Republic, Zimbabwe, Suriname, Israel, Australia, Estonia, Indonesia, Turkey, Poland, Recycled/Scrap, South Africa</t>
  </si>
  <si>
    <t>3/2 Street, Thai Nguyen, Thai Nguyen</t>
  </si>
  <si>
    <t>Le Van Kien</t>
  </si>
  <si>
    <t>lekien75@gmail.com</t>
  </si>
  <si>
    <t>Kanzlerstrasse 17, 75175 Pforzheim, Germany</t>
  </si>
  <si>
    <t>Karl Heinz</t>
  </si>
  <si>
    <t>karl-heinz.flach@agosi.de</t>
  </si>
  <si>
    <t>Recycled/Scrap, Germany, Laos, Nigeria, Sierra Leone, Thailand, Philippines, Brazil, Japan, China</t>
  </si>
  <si>
    <t>Huhudu, Gejiu, Honghezizhizhou, Yunnan</t>
  </si>
  <si>
    <t>Ms. Yin Huizhen</t>
  </si>
  <si>
    <t>574247278@qq.com</t>
  </si>
  <si>
    <t>China, Brazil, Indonesia, Recycled/Scrap, Bolivia, USA</t>
  </si>
  <si>
    <t>1 Hawes St, Towanda, PA 18848, USA
2. Bldg. #2 22 E 7th St, Watsontown, PA, USA</t>
  </si>
  <si>
    <t>Karin Laursen</t>
  </si>
  <si>
    <t>karin.laursen@globaltungsten.com</t>
  </si>
  <si>
    <t>Myanmar, Cambodia, Malaysia, Kazakhstan, Portugal, Austria, Mongolia, Luxembourg, Guyana, Brazil, Republic Of Korea, Chile, Laos, Ecuador, Colombia, Argentina, Hungary, Japan, India, Canada, Belgium, Namibia, China, Peru, Ethiopia, Germany, Russia, Singapore, Vietnam, USA, Egypt, Madagascar, Sierra Leone, Ivory Coast, Bolivia, Thailand, Netherlands, Ireland, Slovakia, Nigeria, France, United Kingdom, Switzerland, Spain, Djibouti, Czech Republic, Zimbabwe, Suriname, Israel, Australia, Estonia, Indonesia, Burundi, Mexico, Rwanda, Vietnam,  Bolivia, Recycled/Scrap, DRC or an adjoining country (Covered Countries)</t>
  </si>
  <si>
    <t>Kuyumcukent, Istanbul, Turkey</t>
  </si>
  <si>
    <t>Cigdem Bostan</t>
  </si>
  <si>
    <t>cbostan@mygoldgram.com</t>
  </si>
  <si>
    <t>Turkey, Canada</t>
  </si>
  <si>
    <t>Young Poong B/D 142 Nonhyeon-dong, Gangnam-gu, Seoul</t>
  </si>
  <si>
    <t>Koohoi Kim</t>
  </si>
  <si>
    <t>khoikim@koreazinc.co.kr</t>
  </si>
  <si>
    <t>Japan, Australia, Republic Of Korea</t>
  </si>
  <si>
    <t>A194 Street, house 1 Industrial Park Astana city, Almaty Region Republic of Kasakhstan</t>
  </si>
  <si>
    <t>Zhanas Muratbek</t>
  </si>
  <si>
    <t>admin@taukenaltyn.kz</t>
  </si>
  <si>
    <t>Austria, Kazakhstan</t>
  </si>
  <si>
    <t>Nalchik, the Kabardino-Balkar Republic, Russia</t>
  </si>
  <si>
    <t>Leonid Perevalov</t>
  </si>
  <si>
    <t>perevalov@wolframcompany.ru</t>
  </si>
  <si>
    <t xml:space="preserve">DRC or an adjoining country (Covered Countries), Myanmar, Cambodia, Malaysia, Kazakhstan, Portugal, Austria, Mongolia, Luxembourg, Guyana, Brazil, Republic Of Korea, Chile, Laos, Ecuador, Argentina, Hungary, Japan, India, Canada, Belgium, Namibia, China, Peru, Ethiopia, Germany, Russia, Vietnam, USA, Egypt, Madagascar, Sierra Leone, Ivory Coast, Bolivia, Thailand, Netherlands, Ireland, Slovakia, Nigeria, France, United Kingdom, Switzerland, Spain, Djibouti, Czech Republic, Zimbabwe, Suriname, Israel, Australia, Indonesia, Estonia, Indonesia Recycled/Scrap, Russia, Russia, Colombia, Russia, Russia, </t>
  </si>
  <si>
    <t>337-26 Kashiwabara, Sayama City, Saitama Prefecture, 350-1335 Japan</t>
  </si>
  <si>
    <t>Ms. Maiko Kobayashi</t>
  </si>
  <si>
    <t>maiko.kobayashi@kojima-c.co.jp</t>
  </si>
  <si>
    <t>Myanmar, Cambodia, Malaysia, Kazakhstan, Portugal, Mongolia, Austria,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t>
  </si>
  <si>
    <t>Bahçelievler, Istanbul, Turkey</t>
  </si>
  <si>
    <t>Esat Caliskan</t>
  </si>
  <si>
    <t>esat.caliskan@nadirmetal.com.tr</t>
  </si>
  <si>
    <t>Saudi Arabia, Turkey, United Arab Emirates, China, Recycled/Scrap, Kazakhstan, Japan, Russia</t>
  </si>
  <si>
    <t>Almalyk, Tashkent Province, Uzbekistan</t>
  </si>
  <si>
    <t>Mr. Rustam Halilov (Export Manager)</t>
  </si>
  <si>
    <t>r.halilov@agmk.uz</t>
  </si>
  <si>
    <t>DRC or an adjoining country (Covered Countries), Argentina, USA, Japan, Uzbekistan, Zambia, Switzerland, Canada, China, Brazil, Mexico, Chile, Australia, Peru, Germany, Brazil, Recycled/Scrap, Indonesia, Philippines</t>
  </si>
  <si>
    <t>Exotech, Inc., 1851 Blount Road, Pompano Beach, FL 33069 USA</t>
  </si>
  <si>
    <t>Mark Gussak</t>
  </si>
  <si>
    <t>mark@exotech.com</t>
  </si>
  <si>
    <t>Myanmar, Cambodia, Malaysia, Kazakhstan, Portugal, Austria, Mongolia, Mozambique, Luxembourg, Guyana, Republic Of Korea, Brazil, Chile, Laos, Ecuador, Colombia, Argentina, Hungary, Japan, India, Canada, Belgium, Namibia, China, Peru, Ethiopia, Germany, Russia, Singapore, Vietnam, USA, Egypt, Sierra Leone, Madagascar, Ivory Coast, Bolivia, Thailand, Netherlands, Ireland, Slovakia, Nigeria, France, United Kingdom, Switzerland, Spain, Djibouti, Czech Republic, Zimbabwe, Suriname, Israel, Australia, Estonia, Indonesia, Recycled/Scrap, DRC or an adjoining country (Covered Countries)</t>
  </si>
  <si>
    <t>Taki Chemical Co. Ltd., 346, Miyanishi, Harima-Cho, Kako-gun, Hyogo-ken, 675-0145, Japan</t>
  </si>
  <si>
    <t>Mr. Yukihiko Yoshimi</t>
  </si>
  <si>
    <t>yoshimi@takichem.co.jp</t>
  </si>
  <si>
    <t xml:space="preserve">Myanmar, Angola, Cambodia, Malaysia, Kazakhstan, Portugal, Mongolia, Austria, Luxembourg, Republic Of Korea, Brazil, Guyana, Chile, Laos, Ecuador, Colombia, Argentina, South Sudan, Hungary, Japan, Tanzania, Zambia, DRC or an adjoining country (Covered Countries), India, Canada, Belgium, Namibia, China, Central African Republic, Peru, Germany, Ethiopia, Burundi, Russia, Singapore, Vietnam, USA, Egypt, Madagascar, Sierra Leone, Ivory Coast, Bolivia, Thailand, Netherlands, Ireland, Slovakia, France, Nigeria, Rwanda, United Kingdom, Switzerland, Spain, Djibouti, Czech Republic, Zimbabwe, Uganda, Suriname, Israel, Australia, Indonesia, Estonia, Recycled/Scrap, DRC or an adjoining country (Covered Countries), Japan, Brazil, </t>
  </si>
  <si>
    <t>Rencun Industrial Zone, Xinxing County, Yunfu City, Guangdong Province, China</t>
  </si>
  <si>
    <t>Mr. Yongqiang Wang (Vice-General Manager)</t>
  </si>
  <si>
    <t>wyq0099@163.com</t>
  </si>
  <si>
    <t>China, DRC or an adjoining country (Covered Countries), Kazakhstan, Recycled/Scrap</t>
  </si>
  <si>
    <t>Nan Kang Industrial Park, Ganzhou, Jiangxi Province, China, 341413</t>
  </si>
  <si>
    <t>Xiaoting Xie</t>
  </si>
  <si>
    <t>1296619795@qq.com</t>
  </si>
  <si>
    <t>Myanmar, Cambodia, Malaysia, Kazakhstan, Portugal, Austria, Mongolia,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Estonia, Indonesia, Recycled/Scrap</t>
  </si>
  <si>
    <t>South Africa</t>
  </si>
  <si>
    <t>Germiston, South Africa</t>
  </si>
  <si>
    <t>Chris Horsley</t>
  </si>
  <si>
    <t>chrish@gold.co.za</t>
  </si>
  <si>
    <t>DRC or an adjoining country (Covered Countries), Papua New Guinea, China, Philippines, Tanzania, Ghana, Malaysia, Switzerland, Canada, Austria, Mozambique, Mali, Namibia, South Africa, USA, Australia, Germany, Belgium, Brazil, Recycled/Scrap</t>
  </si>
  <si>
    <t>5 Somanggongwon-ro, Siheung-si, Gyeonggi-do</t>
  </si>
  <si>
    <t>Geun Chan Na</t>
  </si>
  <si>
    <t>gcna@kggroup.co.kr</t>
  </si>
  <si>
    <t>Babaoshu, Zhadian, Jijie Town, Gejiu, Honghe State, Yunnan Province</t>
  </si>
  <si>
    <t>Li Haiying</t>
  </si>
  <si>
    <t>745992996@qq.com</t>
  </si>
  <si>
    <t>Sheshan Village, Nanyang Industrial Zone, Shanghang County, Longyan City, Fujian Province</t>
  </si>
  <si>
    <t>Xinyu Liao</t>
  </si>
  <si>
    <t>31832399@qq.com</t>
  </si>
  <si>
    <t>No. 103, Section 3, Zhongshan Road, Fangliao Township, Pingtung County, Taiwan</t>
  </si>
  <si>
    <t>David Yen</t>
  </si>
  <si>
    <t>david@lianyoucorp.com</t>
  </si>
  <si>
    <t>"624140 Russia Sverdlovsk region, Kirovgrad, Sverdlova street, 26a</t>
  </si>
  <si>
    <t>Dmitrii A. Pelts</t>
  </si>
  <si>
    <t>dpelts@kzts.ru</t>
  </si>
  <si>
    <t>Semi Urban Industrial Estate, Jagdalpur-494001, (CG), India</t>
  </si>
  <si>
    <t>Yukti Lunia</t>
  </si>
  <si>
    <t>Yuktilunia@gmail.com</t>
  </si>
  <si>
    <t xml:space="preserve">Shegutian Team, Xiadu Village, Qiaokou Town, Suxianqiao District, Chenzhou, Hunnan </t>
  </si>
  <si>
    <t>Wei Yang</t>
  </si>
  <si>
    <t>yangwei2907@163.com</t>
  </si>
  <si>
    <t>China, Recycled/Scrap, Vietnam,  Indonesia, Vietnam</t>
  </si>
  <si>
    <t>Italy</t>
  </si>
  <si>
    <t>Arezzo, Italy</t>
  </si>
  <si>
    <t>Giovanni Prelazzi</t>
  </si>
  <si>
    <t>giovanni.prelazzi@chimet.com</t>
  </si>
  <si>
    <t>Italy, Recycled/Scrap, Turkey, Mexico, Australia, Switzerland, Republic Of Korea</t>
  </si>
  <si>
    <t>Jijie Town</t>
  </si>
  <si>
    <t>Wu Jin</t>
  </si>
  <si>
    <t>wu@gejiumetal.com</t>
  </si>
  <si>
    <t>Myanmar, Cambodia, Malaysia, Kazakhstan, Portugal, Mongolia, Austria, Luxembourg, Guyana, Republic Of Korea, Brazil, Chile, Laos, Ecuador, Colombia, Argentina, Hungary, Japan, India, Canada, Belgium, Namibia, China, Peru, Germany, Ethiopia, Russia, Vietnam, Singapore, USA, Egypt, Sierra Leone, Madagascar, Ivory Coast, Bolivia, Thailand, Netherlands, Ireland, Slovakia, Nigeria, France, United Kingdom, Switzerland, Spain, Djibouti, Czech Republic, Zimbabwe, Suriname, Israel, Australia, Indonesia, Estonia, Recycled/Scrap</t>
  </si>
  <si>
    <t>Mewat, Haryana, India</t>
  </si>
  <si>
    <t>Rajesh Khosla</t>
  </si>
  <si>
    <t>rajesh.khosla@mmtcpamp.com</t>
  </si>
  <si>
    <t>USA, India, Australia, Brazil, Zambia, Kenya, Zimbabwe, DRC or an adjoining country (Covered Countries), China, Japan, Recycled/Scrap, Zimbabwe Russia</t>
  </si>
  <si>
    <t>Rodovia BR 265 - Km 264 - Distrido Industrial de São João Del Rei - Minas gerais, CEP: 36315-000</t>
  </si>
  <si>
    <t>Daniel Clemente</t>
  </si>
  <si>
    <t>Desenvolvimento@resind.com.br</t>
  </si>
  <si>
    <t>Indonesia, Argentina, Australia, Austria, Belgium, Bolivia, Brazil, Cambodia, Canada, Chile, China, Colombia, Ivory Coast, Czech Republic, Djibouti, Ecuador, Egypt, Estonia, Ethiopia, France, Germany, Guyana, Hungary, India, Ireland, Israel, Japan, Kazakhstan, Recycled/Scrap, DRC or an adjoining country (Covered Countries), Burundi, Mozambique, Namibia, Nigeria, Rwanda, Sierra Leone, Zimbabwe, USA</t>
  </si>
  <si>
    <t>RFH Tantalum Smeltery Co., Ltd (RFH), The Medium &amp; Small Enterprises Development Area, Yanling County, Zhuzhou, Hunan, China</t>
  </si>
  <si>
    <t>Mr. Liu Ming</t>
  </si>
  <si>
    <t>liu_ming@richwinchina.com</t>
  </si>
  <si>
    <t>Russia, China, Peru, Indonesia, Recycled/Scrap, DRC or an adjoining country (Covered Countries)</t>
  </si>
  <si>
    <t>Solikamsk Magnesium Works OAO, 9 Pravda Str, Solikamsk Perm Region 618541, Russia</t>
  </si>
  <si>
    <t>Mr. Andrei Kudlai (Head of Marketing)</t>
  </si>
  <si>
    <t>akudlai@smw.ru</t>
  </si>
  <si>
    <t>Myanmar, Cambodia, Malaysia, Kazakhstan, Portugal, Mongolia, Austria, Luxembourg, Guyana, Republic Of Korea, Brazil, Chile, Laos, Colombia, Ecuador, Argentina, Hungary, Japan, India, Canada, Belgium, Namibia, China, Peru, Germany, Ethiopia, Russia, Vietnam, Singapore, USA, Egypt, Sierra Leone, Madagascar, Ivory Coast, Thailand, Bolivia, Netherlands, Ireland, Slovakia, France, Nigeria, United Kingdom, Switzerland, Djibouti, Czech Republic, Zimbabwe, Suriname, Israel, Australia, Estonia, Indonesia, Recycled/Scrap, Burundi, Rwanda, DRC or an adjoining country (Covered Countries)</t>
  </si>
  <si>
    <t>Xinhui, Jiangmen, Guangdong, China</t>
  </si>
  <si>
    <t>Mr. Zheng</t>
  </si>
  <si>
    <t>xyz@uil.com.hk</t>
  </si>
  <si>
    <t>DRC or an adjoining country (Covered Countries), Myanmar, Angola, Cambodia, Malaysia, Kazakhstan, Portugal, Mongolia, Austria, Luxembourg, Guyana, Brazil, Republic Of Korea, Chile, Laos, Colombia, Ecuador, Argentina, Hungary, South Sudan, Japan, Tanzania, Zambia, India, Canada, Belgium, Namibia, China, Central African Republic, Peru, Germany, Ethiopia, Burundi, Russia, Singapore, Vietnam, USA, Egypt, Madagascar, Sierra Leone, Ivory Coast, Bolivia, Thailand, Netherlands, Ireland, Slovakia, Nigeria, France, Recycled/Scrap, Rwanda, United Kingdom, Switzerland, Spain, Djibouti, Czech Republic, Zimbabwe, Uganda, Suriname, Israel, Australia, Estonia, Indonesia</t>
  </si>
  <si>
    <t>Rua do Estanho, 123, Ariquemes, Rondônia, Brasil</t>
  </si>
  <si>
    <t>Ivan Cardoso</t>
  </si>
  <si>
    <t>ivan.viana@csn.com.br</t>
  </si>
  <si>
    <t>ul. Strefowa 13, 39-442 Chmielów, Poland</t>
  </si>
  <si>
    <t>Paweł Kupiec (Operations Manager)</t>
  </si>
  <si>
    <t>p.kupiec@fenixmetals.com</t>
  </si>
  <si>
    <t>Poland, Bolivia, Recycled/Scrap, China, Brazil, Australia, Kazakhstan, Peru, Indonesia</t>
  </si>
  <si>
    <t>Hong Kong, 香港新界粉嶺安樂村安全街30號賀利氏科技中心</t>
  </si>
  <si>
    <t>Marc Schuetzkowski</t>
  </si>
  <si>
    <t>marc.schuetzkowski@heraeus.com</t>
  </si>
  <si>
    <t>Singapore, Vietnam, China, Japan, Philippines, Malaysia, Thailand, Switzerland, Canada, Mozambique, South Africa, Australia, France, Laos, Peru, Germany, USA, Chile, Recycled/Scrap, Mongolia, Austria, Mexico</t>
  </si>
  <si>
    <t>Hanau, Hessen, Germany</t>
  </si>
  <si>
    <t>Juergen Mueller</t>
  </si>
  <si>
    <t>juergen.mueller@heraeus.com</t>
  </si>
  <si>
    <t>Chile, Germany, Recycled/Scrap, Switzerland, USA, China, India, South Africa, Malaysia, Peru, Australia, Bolivia</t>
  </si>
  <si>
    <t>No. 44, Qiming Road East, Chenhe District, Luoyang City, Henan Province 471000</t>
  </si>
  <si>
    <t>Lin Haixia 林海霞</t>
  </si>
  <si>
    <t>international@zijinmining.com</t>
  </si>
  <si>
    <t>China, Republic Of Korea, China, Recycled/Scrap, USA</t>
  </si>
  <si>
    <t>19B-3L Namdong Industrial Complex, Nonhyeon-dong, Incheon, Korea (facility location).  43 Hambangmoe-ro 318beon-gil, Namdong-Gu, Incheon, Korea</t>
  </si>
  <si>
    <t>Mr. KeHyun Kwon</t>
  </si>
  <si>
    <t>kwon0213@daum.net</t>
  </si>
  <si>
    <t>Republic Of Korea, Recycled/Scrap, USA, Japan, Rwanda, Sierra Leone, Bolivia, Thailand, India, Canada, Mozambique, Namibia, China, Brazil, Zimbabwe, Australia, Germany, Ethiopia, Indonesia</t>
  </si>
  <si>
    <t>20-12, PALYONG-DONG CHANGWON-CITY Gyeongsangnam-do Korea</t>
  </si>
  <si>
    <t>Hee Kim (CEO)</t>
  </si>
  <si>
    <t>samwon9200@nate.com</t>
  </si>
  <si>
    <t>Canada, Sweden, China, Republic Of Korea, Australia, Recycled/Scrap, Indonesia</t>
  </si>
  <si>
    <t>CHAU QUANG INDUSTRIAL ZONE, CHAU QUANG COMMUNE, QUY HOP DISTRICT, NGHE AN PROVINCE, VIETNAM</t>
  </si>
  <si>
    <t>DZUNG NGUYEN</t>
  </si>
  <si>
    <t>TRUNGDUNG20071986@GMAIL.COM</t>
  </si>
  <si>
    <t xml:space="preserve">Turkey, Vietnam, Brazil, Recycled/Scrap, Vietnam, </t>
  </si>
  <si>
    <t>A. Mabini St. cor. P. Ocampo St., Malate Manila, Philippines 1004</t>
  </si>
  <si>
    <t>Maricel Santos (Manager - Production Planning Division), Elaine Kate Pagalilauan (Compliance/Planning)</t>
  </si>
  <si>
    <t>mcsantos@bsp.gov.ph (Maricel Santos)</t>
  </si>
  <si>
    <t>Italy, Philippines, Canada, China, Brazil, Indonesia, Recycled/Scrap, USA, Japan, Germany, India, Peru</t>
  </si>
  <si>
    <t>631-2 Seonggok-dong, Danwon-gu, Ansan-si, Gyeonggi-do 425-833 Korea</t>
  </si>
  <si>
    <t>ByeongHak Choi</t>
  </si>
  <si>
    <t>eun85710@nate.com</t>
  </si>
  <si>
    <t>Canada, China, USA, Japan, Republic Of Korea, Mexico, Australia, Recycled/Scrap, South Africa</t>
  </si>
  <si>
    <t>Noda Factory,  19-2 Hayama Nodi-si Chiba-ken, Japan</t>
  </si>
  <si>
    <t>Mr. Nobutake Morita</t>
  </si>
  <si>
    <t>n.morita@material.co.jp</t>
  </si>
  <si>
    <t>Japan, Recycled/Scrap, China, DRC or an adjoining country (Covered Countries), Niger, Rwanda, Malaysia, Bolivia, Thailand, Switzerland, Portugal, Spain, Canada, Mozambique, Brazil, Australia, Chile, Nigeria, Peru, Indonesia</t>
  </si>
  <si>
    <t>No.300-1, Kejing Community, Haicang Subdistrict, Xiamen Area of China (Fujian) Pilot Free Trade Zone, P.C: 361026</t>
  </si>
  <si>
    <t>Liu (Eric) Renfeng</t>
  </si>
  <si>
    <t>liu.renfeng@cxtc.com</t>
  </si>
  <si>
    <t>China, Canada, Australia, Bolivia, Brazil, Russia, Portugal, USA, Nigeria, Thailand, Spain, Vietnam,  Rwanda, Niger, Mexico, Peru, Germany, Japan, Recycled/Scrap</t>
  </si>
  <si>
    <t>Xiaowatang Industrial park, Shuitangzhai Village Committee, Xicheng town, Gejiu city, Honghe , Yunnan Province, China</t>
  </si>
  <si>
    <t>Mr. Wang Pengxiang</t>
  </si>
  <si>
    <t>357212710@qq.com</t>
  </si>
  <si>
    <t>Igor Kaev</t>
  </si>
  <si>
    <t>ik@fenimor.com.sg</t>
  </si>
  <si>
    <t>20F Block A, Marina Bay Center, South of Xinghua Rd. Bao’an Center Area, Shenzhen, Guangdong Sheng</t>
  </si>
  <si>
    <t>Zhaoxia Zeng (曾朝霞)</t>
  </si>
  <si>
    <t>zengzhaoxia@gem.com.cn</t>
  </si>
  <si>
    <t>CID001428</t>
  </si>
  <si>
    <t>PT Bukit Timah</t>
  </si>
  <si>
    <t>Jalan Ketapang Kawasan Industri, Pangkalpinang 33111</t>
  </si>
  <si>
    <t>Rosalinda Dwijayanti</t>
  </si>
  <si>
    <t>linda@imligroup.com</t>
  </si>
  <si>
    <t>Indonesia, Recycled/Scrap, Republic Of Korea, China, Slovakia</t>
  </si>
  <si>
    <t>341300, Taxia Chongyi, Ganzhou, Jiangxi province, China</t>
  </si>
  <si>
    <t>Wubing</t>
  </si>
  <si>
    <t>export1@zy-tungsten.com</t>
  </si>
  <si>
    <t>Telex Metals LLC, 105/115 Phyllis Drive, Croyden, PA 19021 USA</t>
  </si>
  <si>
    <t>Mr. Jim Maguire (General Manager)</t>
  </si>
  <si>
    <t>jim@telexmetals.com</t>
  </si>
  <si>
    <t>Myanmar, Cambodia, Malaysia, Kazakhstan, Portugal, Mongolia, Austria, Luxembourg, Republic Of Korea, Brazil, Guyana, Chile, Laos, Colombia, Ecuador, Argentina, Hungary, Japan, India, Canada, Belgium, Namibia, China, Peru, Germany, Ethiopia, Russia, Vietnam, Singapore, USA, Egypt, Sierra Leone, Madagascar, Ivory Coast, Thailand, Bolivia, Netherlands, Ireland, Slovakia, Nigeria, France, Recycled/Scrap, United Kingdom, Switzerland, Spain, Djibouti, Czech Republic, Zimbabwe, Suriname, Israel, Australia, Estonia, Indonesia, DRC or an adjoining country (Covered Countries), Mozambique, Rwanda</t>
  </si>
  <si>
    <t>Thailand Smelting and Refining Co. Ltd.
80 Moo 8, Sakdidej Road, T. Vichit, A. Muang, 
Phuket 83000, THAILAND</t>
  </si>
  <si>
    <t>Mr. Warit Choovaree (Commercial Supply &amp; Purchasing Manager)</t>
  </si>
  <si>
    <t>warit@thaisarco.com</t>
  </si>
  <si>
    <t xml:space="preserve">DRC or an adjoining country (Covered Countries), Rwanda, Indonesia, Recycled/Scrap, Thailand, Burundi, Uganda, Myanmar, Portugal, Morocco, Chile, Bolivia, Canada, Brazil, Malaysia, Poland, Peru, Australia, China, Japan, Thailand, Laos, Vietnam, </t>
  </si>
  <si>
    <t>Yuanwuwei Road, Saihan District, Hohhot City, Inner Mongolia, Autonomous Region, China</t>
  </si>
  <si>
    <t>2274801749@qq.com</t>
  </si>
  <si>
    <t>Recycled/Scrap, Indonesia, China, Mongolia, Mexico, Republic Of Korea, Canada</t>
  </si>
  <si>
    <t>Soka, Saitama, Japan</t>
  </si>
  <si>
    <t>Tatsuto Nagata (Director)</t>
  </si>
  <si>
    <t>shizai@ifk.co.jp</t>
  </si>
  <si>
    <t>Recycled/Scrap, Canada, USA, China, Japan, Australia, Peru, Chile, Indonesia, Mineral Sourcing L1 Japan</t>
  </si>
  <si>
    <t>Jl. Kawasan Industri Jelitik, Kec. Sungailiat, Kab., Bangka, Provinsi Kepulauan, Kepulauan Bangka Belitung , Indonesia</t>
  </si>
  <si>
    <t>Andy Antofat</t>
  </si>
  <si>
    <t>andy.antofat@dominiontin.com</t>
  </si>
  <si>
    <t>Indonesia, Recycled/Scrap, Myanmar, Cambodia, Malaysia, Kazakhstan, Portugal, Austria, Mongolia, Luxembourg, Republic Of Korea, Brazil, Guyana, Chile, Laos, Ecuador, Colombia, Argentina, Hungary, Japan, India, Canada, Belgium, Namibia, China, Peru, Germany, Ethiopia, Russia, Singapore, Vietnam, USA, Egypt, Madagascar, Sierra Leone, Ivory Coast, Thailand, Bolivia, Netherlands, Ireland, Slovakia, France, Nigeria, Philippines, United Kingdom, Switzerland, Spain, Djibouti, Czech Republic,  Poland, Indonesia, Zimbabwe, Suriname, Israel, Australia, Estonia</t>
  </si>
  <si>
    <t>Ottawa, Canada</t>
  </si>
  <si>
    <t>Ms. Amanda Bartleman</t>
  </si>
  <si>
    <t>bartleman@mint.ca</t>
  </si>
  <si>
    <t>Canada, Recycled/Scrap, Suriname, Guyana, Switzerland, Chile, Germany, Peru, USA, Mexico, Japan, China</t>
  </si>
  <si>
    <t>Biel-Bienne, Switzerland</t>
  </si>
  <si>
    <t>Dr. Theo Gautschi</t>
  </si>
  <si>
    <t>theo.gautschi@cmsa.ch</t>
  </si>
  <si>
    <t>Recycled/Scrap, Australia, Switzerland, Germany, Canada</t>
  </si>
  <si>
    <t>Kunming, Yunnan, China</t>
  </si>
  <si>
    <t>Chen Yuexiang 陈越翔</t>
  </si>
  <si>
    <t>gsxcb@163.com</t>
  </si>
  <si>
    <t>Canada, China, Chile, Recycled/Scrap, Japan</t>
  </si>
  <si>
    <t>415-872 Gaekok-ri Wolgok-myeon, Gimpo, Gyongki-do 606-28 Korea</t>
  </si>
  <si>
    <t>Ms. Kang Ju Hyun</t>
  </si>
  <si>
    <t>do2845@chol.com</t>
  </si>
  <si>
    <t>Recycled/Scrap, Republic Of Korea, Brazil, South Africa, Australia, Republic Of Korea, Japan, Kazakhstan, China, Russia, Saudi Arabia</t>
  </si>
  <si>
    <t>1781-3 Nitte, Honjō-shi, Saitama-ken, 367-0002 / East plant is in Saitama</t>
  </si>
  <si>
    <t>Mr. Yoshihiko Hoshikawa</t>
  </si>
  <si>
    <t>hoshikay@dowa.co.jp</t>
  </si>
  <si>
    <t>168 State Dale, Zhaoyuan, Shandong Province, Hunan, China</t>
  </si>
  <si>
    <t>Mr. Wu</t>
  </si>
  <si>
    <t>29953643@qq.com</t>
  </si>
  <si>
    <t>China, Recycled/Scrap, Indonesia, Uzbekistan</t>
  </si>
  <si>
    <t>Singapore City, Singapore</t>
  </si>
  <si>
    <t>Larry Drummond</t>
  </si>
  <si>
    <t>larry.drummond@metalor.com</t>
  </si>
  <si>
    <t>Singapore, China, Switzerland, Recycled/Scrap, Peru, Indonesia</t>
  </si>
  <si>
    <t>Yejin Avenue, Guixi City, Jiangxi</t>
  </si>
  <si>
    <t>Mr. Zhang</t>
  </si>
  <si>
    <t>master@jxcn.cn</t>
  </si>
  <si>
    <t>USA, China, Japan, Rwanda, Chile, Peru, Albania, Afghanistan, Canada, Recycled/Scrap, Spain</t>
  </si>
  <si>
    <t>NO.58 Mafangxia, Ganzhou, Jiangxi, China</t>
  </si>
  <si>
    <t>LI QI MEI</t>
  </si>
  <si>
    <t>dept1@sino-tungsten.com</t>
  </si>
  <si>
    <t>Myanmar, Cambodia, Malaysia, Kazakhstan, Portugal, Mongolia, Austria, Mozambique, Luxembourg, Brazil, Guyana, Republic Of Korea, Chile, Laos, Colombia, Ecuador, Argentina, Hungary, Japan, India, Canada, Belgium, Namibia, China, Peru, Germany, Ethiopia, Russia, Singapore, Vietnam, USA, Egypt, Sierra Leone, Madagascar, Ivory Coast, Thailand, Bolivia, Netherlands, Ireland, Slovakia, France, Nigeria, Niger, Rwanda, United Kingdom, Switzerland, Spain, Djibouti, Czech Republic, Zimbabwe, Suriname, Israel, Australia, Indonesia, Estonia, Recycled/Scrap</t>
  </si>
  <si>
    <t>NO.1 Songjia Village, Zhuhui District, Hengyang City, Hunan Province, China</t>
  </si>
  <si>
    <t>Jiang Ying</t>
  </si>
  <si>
    <t>3377815@qq.com</t>
  </si>
  <si>
    <t>Myanmar, Cambodia, Malaysia, Kazakhstan, Portugal, Austria, Mongolia, Luxembourg, Guyana, Republic Of Korea, Brazil,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DRC or an adjoining country (Covered Countries), Recycled/Scrap</t>
  </si>
  <si>
    <t>Colombia</t>
  </si>
  <si>
    <t>Km 3.5 Autopista Medellin bodega 4 modulo 3, Cota, Cundinamarca</t>
  </si>
  <si>
    <t>Andres Castellanos Gonzalez</t>
  </si>
  <si>
    <t>andres.castellanos@mpinducol.com</t>
  </si>
  <si>
    <t>Marin, Neuchâtel, Switzerland</t>
  </si>
  <si>
    <t>Marco Pisino</t>
  </si>
  <si>
    <t>marco.pisino@metalor.com</t>
  </si>
  <si>
    <t>Ivory Coast, Recycled/Scrap, Switzerland, Canada, Sweden, China, Belgium, USA, United Kingdom, Indonesia, Angola, Burundi, DRC or an adjoining country (Covered Countries), Rwanda, England, Peru</t>
  </si>
  <si>
    <t>Mettalurgical Product India Pvt. Ltd. T-27 MIDC Taloja Industiral Area District Raigad, Maharashtra, India</t>
  </si>
  <si>
    <t>Mr. Mathur Pranav</t>
  </si>
  <si>
    <t>pm@mpil.co.in</t>
  </si>
  <si>
    <t>Myanmar, Cambodia, Malaysia, Kazakhstan, Portugal, Austria, Mongolia, Mozambique, Luxembourg, Guyana, Republic Of Korea, Brazil, USA, Chile, Laos, Ecuador, Colombia, Argentina, Hungary, Japan, India, Canada, Belgium, Namibia, China, South Africa, Peru, Ethiopia, Germany, Russia, Singapore, Vietnam, Egypt, Sierra Leone, Madagascar, Ivory Coast, Bolivia, Thailand, Netherlands, Ireland, Slovakia, Nigeria, France, United Kingdom, Kenya, Switzerland, Spain, Djibouti, Czech Republic, Zimbabwe, Suriname, Israel, Australia, Indonesia, Estonia, Recycled/Scrap, DRC or an adjoining country (Covered Countries), Slovenia</t>
  </si>
  <si>
    <t>MassMutual Tower, 19th Floor, Room 1902, 38 Gloucester Road, Wanchai, Hong Kong</t>
  </si>
  <si>
    <t>Mr. Peng</t>
  </si>
  <si>
    <t>13939009815@139.com</t>
  </si>
  <si>
    <t>Recycled/Scrap, China, Saudi Arabia, China</t>
  </si>
  <si>
    <t>No.2, Gongye Road, Lingbao, Henan, China</t>
  </si>
  <si>
    <t>Ding Xiang 丁 翔</t>
  </si>
  <si>
    <t>tonghui99.99@163.com</t>
  </si>
  <si>
    <t>Recycled/Scrap, China, China</t>
  </si>
  <si>
    <t>Malaysia</t>
  </si>
  <si>
    <t>12 Jalan Pantai, 12000 Butterworth, Penang, Malaysia</t>
  </si>
  <si>
    <t>Raveentiran Krishnan</t>
  </si>
  <si>
    <t>raveentiran@msmelt.com</t>
  </si>
  <si>
    <t>Rwanda, Malaysia, China, DRC or an adjoining country (Covered Countries), Burundi, Uganda, Recycled/Scrap, Indonesia, Australia, Peru, Angola, Myanmar, Angola, Cambodia, Kazakhstan, Austria, Mongolia, Mozambique, Luxembourg, Republic Of Korea, Guyana, Laos, Colombia, Ecuador, Argentina, Hungary, South Sudan, Tanzania, Zambia, India, Belgium, Namibia, South Africa, Central African Republic, Ethiopia, Germany, Russia, Singapore, Vietnam, USA, Egypt, Madagascar, Sierra Leone, Ivory Coast, Netherlands, Ireland, Slovakia, France, United Kingdom, Kenya, Djibouti, Czech Republic, Zimbabwe, Suriname, Israel, Estonia, Malaysia, Malaysia, Brazil, Nigeria, Bolivia, Canada, Switzerland</t>
  </si>
  <si>
    <t>No. 1-1, Lane 139, Gong 5th Rd., Lin 39, Wulin Village, 
Longtan Shiang Taoyuang, Taiwan</t>
  </si>
  <si>
    <t>Ariel</t>
  </si>
  <si>
    <t>rdh_49@rdh.com.tw</t>
  </si>
  <si>
    <t>Recycled/Scrap, Brazil, China, Japan, DRC or an adjoining country (Covered Countries), Indonesia</t>
  </si>
  <si>
    <t>3-5-2, haslmotodai midor-ku, Sagamihara-city, Kanagawa-ken, 252-0244 Japan</t>
  </si>
  <si>
    <t>Mr. Kazuhiro Araki</t>
  </si>
  <si>
    <t>Araki@mail.yk-metal.co.jp</t>
  </si>
  <si>
    <t>Japan, Recycled/Scrap, Brazil, China, Malaysia, Spain, Canada</t>
  </si>
  <si>
    <t>Netherlands</t>
  </si>
  <si>
    <t>Middenweg 7, 4782 PM Moerdijk, Netherlands</t>
  </si>
  <si>
    <t>Tobias Schmiemann</t>
  </si>
  <si>
    <t>Tobias.Schmiemann@remondis-argentia.nl</t>
  </si>
  <si>
    <t>Netherlands, China, Philippines, Thailand, Canada, Japan, Bolivia, Recycled/Scrap, Russia</t>
  </si>
  <si>
    <t>United Arab Emirates</t>
  </si>
  <si>
    <t>P.O. Box 3992, Fujairah Free Zone II, Fujairah, UAE</t>
  </si>
  <si>
    <t>info@fujairahgold.com</t>
  </si>
  <si>
    <t>Jacob Jacobstraat 58, Antwerpen 2018, Belgium</t>
  </si>
  <si>
    <t>Riet Vanderschelde</t>
  </si>
  <si>
    <t>riet.vanderschelde@tonygoetz.com</t>
  </si>
  <si>
    <t>Belgium, Vietnam</t>
  </si>
  <si>
    <t>JL. AIR MAWAR DALAM BUKIT INTAN, PANGKAL PINANG, PROPINSI BANGKA BELITUNG</t>
  </si>
  <si>
    <t>Mr. Hermanto</t>
  </si>
  <si>
    <t>hermanto.home@gmail.com</t>
  </si>
  <si>
    <t>Myanmar, Cambodia, Malaysia, Kazakhstan, Portugal, Mongolia, Austria, Luxembourg, Brazil, Guyana, Republic Of Korea, Chile, Laos, Ecuador, Colombia, Argentina, Hungary, Japan, India, Canada, Belgium, Namibia, China, Peru, Ethiopia, Germany, Russia, Singapore, Vietnam, USA, Egypt, Sierra Leone, Madagascar, Ivory Coast, Thailand, Bolivia, Netherlands, Ireland, Slovakia, Nigeria, France, United Kingdom, Switzerland, Djibouti, Czech Republic, Zimbabwe, Suriname, Israel, Australia, Estonia, Indonesia, South Africa, Spain</t>
  </si>
  <si>
    <t>North Attleboro, Massachusetts, USA</t>
  </si>
  <si>
    <t>Canada, USA, China, Mexico, Switzerland, Brazil, Recycled/Scrap, Japan, Bolivia</t>
  </si>
  <si>
    <t>Torreon, Coahuila, Mexico</t>
  </si>
  <si>
    <t>Celia Ortega</t>
  </si>
  <si>
    <t>Celia_Ortega@penoles.com.mx</t>
  </si>
  <si>
    <t>China, Mexico, USA, Recycled/Scrap, Japan, Canada, Peru</t>
  </si>
  <si>
    <t>2978 Main Street, Buffalo NY 14214</t>
  </si>
  <si>
    <t>Tim Pelletier</t>
  </si>
  <si>
    <t>Timothy.Pelletier@materion.com</t>
  </si>
  <si>
    <t>Recycled/Scrap, USA, Myanmar, Cambodia, Malaysia, Kazakhstan, Portugal, Austria, Mongolia, Luxembourg, Brazil, Guyana, Republic Of Korea, Chile, Laos, Colombia, Ecuador, Argentina, Hungary, Japan, India, Canada, Belgium, Namibia, China, Peru, Ethiopia, Germany, Russia, Singapore, Vietnam, Egypt, Sierra Leone, Madagascar, Ivory Coast, Thailand, Bolivia, Netherlands, Ireland, Slovakia, France, Nigeria, United Kingdom, Switzerland, Spain, Djibouti, Czech Republic, Zimbabwe, Suriname, Israel, Australia, Estonia, Indonesia</t>
  </si>
  <si>
    <t>Iruma, Saitama, Japan</t>
  </si>
  <si>
    <t>Mr. Takashi Yamanoi</t>
  </si>
  <si>
    <t>yamanoi-t@matsuda-sangyo.co.jp</t>
  </si>
  <si>
    <t xml:space="preserve">Japan, Australia, Canada, Recycled/Scrap, China, USA, United Kingdom, Indonesia, Myanmar, Cambodia, Malaysia, Kazakhstan, Portugal, Austria, Mongolia, Luxembourg, Republic Of Korea, Guyana, Brazil, Chile, Laos, Ecuador, Colombia, Argentina, Hungary, India, Belgium, Namibia, Peru, Germany, Ethiopia, Russia, Switzerland, </t>
  </si>
  <si>
    <t>Sugisawa-96 Kosakakozan, Kosaka-machi, Kazuno-gun, Akita-ken, 017-0202</t>
  </si>
  <si>
    <t>1 Chome-3-1 Kaigandori, Minami-ku, Okayama-shi, Okayama-ken 702-8506 / West Plant is in Okayama</t>
  </si>
  <si>
    <t>Rua Dos Mineiros, 100, Cumbica, Guarulhos, Sao Paulo, Brazil</t>
  </si>
  <si>
    <t>Sergio Wetter</t>
  </si>
  <si>
    <t>sergiowetter@albasteel.com.br</t>
  </si>
  <si>
    <t>Pforzheim, Baden-Württemberg, Germany</t>
  </si>
  <si>
    <t>Philipp Reisert, Bruno Steinmetz</t>
  </si>
  <si>
    <t>Philipp.Reisert@c-hafner.de</t>
  </si>
  <si>
    <t>Canada, Sweden, Ireland, China, Finland, Indonesia, Recycled/Scrap, Japan, Brazil, Chile, Australia, Peru, Germany, Mexico, Thailand, Russia</t>
  </si>
  <si>
    <t>Rua Antonio das Chagas 1733, São Paulo, Sp, Brazil, Zip 04714-002</t>
  </si>
  <si>
    <t>Mr. Otavio Surian Matias</t>
  </si>
  <si>
    <t>Gerencia@refinadoramarsam.com.br</t>
  </si>
  <si>
    <t>Brazil, China, Japan, Myanmar, Cambodia, Malaysia, Kazakhstan, Portugal, Mongolia, Austria, Luxembourg, Guyana, Republic Of Korea, Chile, Laos, Colombia, Ecuador, Argentina, Hungary, India, Canada, Belgium, Namibia, Peru, Germany, Ethiopia, Russia, Singapore, Vietnam, USA, Egypt, Sierra Leone, Madagascar, Bolivia, Thailand, Netherlands, Ireland, Slovakia, France, Nigeria, United Kingdom, Switzerland, Spain, Djibouti, Zimbabwe, Suriname, Israel, Australia, Estonia, Indonesia, Recycled/Scrap</t>
  </si>
  <si>
    <t>Desa Pasir Putih, Kecamatan Tukak Sadai, Kabupaten Bangka Selatan, Bangka Belitung</t>
  </si>
  <si>
    <t>Danny Widjaya</t>
  </si>
  <si>
    <t>rajawalirimbaperkasa@gmail.com</t>
  </si>
  <si>
    <t>James Jose</t>
  </si>
  <si>
    <t>mail@cgrmetalloys.com</t>
  </si>
  <si>
    <t>Viral Lodhiya</t>
  </si>
  <si>
    <t>viral.lodhiya@sovereignmetals.in</t>
  </si>
  <si>
    <t>Rwanda</t>
  </si>
  <si>
    <t>Karuruma-Jabana, Kigali, Rwanda</t>
  </si>
  <si>
    <t>Olena Wiaderna</t>
  </si>
  <si>
    <t>olena.wiaderna@lunasmelter.com</t>
  </si>
  <si>
    <t>Guangdong Zhiyuan New Material Co., Ltd. Qiaotou Town, Yingde City Guangdong Province, China</t>
  </si>
  <si>
    <t>Richard Zeng</t>
  </si>
  <si>
    <t>richard@ximeigroup.com</t>
  </si>
  <si>
    <t>DRC or an adjoining country (Covered Countries), Myanmar, Cambodia, Malaysia, Kazakhstan, Portugal, Mongolia, Austria, Luxembourg, Guyana, Brazil, Republic Of Korea, Chile, Laos, Colombia, Ecuador, Argentina, Hungary, Japan, India, Canada, Belgium, Namibia, China, Peru, Germany, Ethiopia, Russia, Singapore, Vietnam, USA, Egypt, Sierra Leone, Madagascar, Ivory Coast, Bolivia, Thailand, Netherlands, Ireland, Slovakia, Nigeria, France, Philippines, Rwanda, United Kingdom, Switzerland, Spain, Djibouti, Czech Republic, Zimbabwe, Suriname, Israel, Australia, Estonia, Indonesia, Recycled/Scrap, Tanzania</t>
  </si>
  <si>
    <t>98-13, Geonji-ro, Seo-gu, Incheon, Korea</t>
  </si>
  <si>
    <t>Mr. KW Song</t>
  </si>
  <si>
    <t>kwsong@ltmetal.co.kr</t>
  </si>
  <si>
    <t>Canada, China, USA, Japan, United Kingdom, Mexico, South Africa, Australia, Switzerland, Indonesia, Republic Of Korea, Recycled/Scrap</t>
  </si>
  <si>
    <t>Jl.Manggar Tengah RT.016B/RW.005 Kelekak Datuk , Desa Badau - Kecamatan Badau</t>
  </si>
  <si>
    <t>Rudy Sumarli</t>
  </si>
  <si>
    <t>babelsuryaalamlestari@gmail.com</t>
  </si>
  <si>
    <t>Brazil, China, Indonesia, Recycled/Scrap</t>
  </si>
  <si>
    <t>Komplek Industri dan Pelabuhan Air Kantung, Jelitik Kecamatan Sungailiat, Kabupaten Bangka, Propinsi Kepulauan Bangka Belitung</t>
  </si>
  <si>
    <t>Mr. Muhammed Fitriansyah</t>
  </si>
  <si>
    <t>mfitriansyah@gmail.com</t>
  </si>
  <si>
    <t>Indonesia, Recycled/Scrap, Chile, Mexico, Myanmar, Cambodia, Malaysia, Kazakhstan, Portugal, Mongolia, Austria, Luxembourg, Republic Of Korea, Brazil, Guyana, Laos, Colombia, Ecuador, Argentina, Hungary, Japan, India, Canada, Belgium, Namibia, China, Peru, Ethiopia, Germany, Russia, Singapore, Vietnam, USA, Egypt, Madagascar, Sierra Leone, Ivory Coast, Bolivia, Thailand, Netherlands, Ireland, Slovakia, France, Nigeria, Kyrgyzstan, United Kingdom, Switzerland, Spain, Djibouti, Czech Republic, Australia, Estonia, Israel, Zimbabwe, Suriname</t>
  </si>
  <si>
    <t>Highway BR 421, KM 1,1 – Ariquemes – Rondonia - Brazil</t>
  </si>
  <si>
    <t>Paulo Amparo</t>
  </si>
  <si>
    <t>gerentegeral.rp@whitesolder.com.br</t>
  </si>
  <si>
    <t>China, Brazil, Thailand, Peru, Germany, Myanmar, Cambodia, Malaysia, Kazakhstan, Portugal, Mongolia, Austria, Luxembourg, Republic Of Korea, Guyana, Chile, Laos, Ecuador, Argentina, Hungary, Japan, India, Canada, Belgium, Namibia, Ethiopia, Russia, Burundi, Vietnam, USA, Egypt, Sierra Leone, Madagascar, Ivory Coast, Bolivia, Netherlands, Ireland, Slovakia, France, Nigeria, Niger, United Kingdom, Switzerland, Spain, Djibouti, Czech Republic, Mexico, Zimbabwe, Suriname, Israel, Australia, Estonia, Indonesia, Colombia, DRC or an adjoining country (Covered Countries), Recycled/Scrap</t>
  </si>
  <si>
    <t>Spain</t>
  </si>
  <si>
    <t>Madrid, Spain</t>
  </si>
  <si>
    <t>Julian Sarda</t>
  </si>
  <si>
    <t>jsarda@sempsajp.com</t>
  </si>
  <si>
    <t>Myanmar, Cambodia, Malaysia, Kazakhstan, Portugal, Austria, Mongolia, Luxembourg, Guyana, Republic Of Korea, Brazil, Chile, Laos, Ecuador, Colombia, Argentina, Hungary, Japan, India, Canada, Belgium, Namibia, China, Peru, Germany, Ethiopia, Russia, Singapore, Vietnam, USA, Egypt, Sierra Leone, Madagascar, Ivory Coast, Thailand, Bolivia, Netherlands, Ireland, Slovakia, Nigeria, France, United Kingdom, Switzerland, Spain, Djibouti, Czech Republic, Zimbabwe, Suriname, Israel, Australia, Indonesia, Estonia, Recycled/Scrap</t>
  </si>
  <si>
    <t>No. 191, Huangjin Road, Wenjiang District, Chengdu City, Sichuan Province 611131</t>
  </si>
  <si>
    <t>Mr. Chen Jie (Deputy Manager)</t>
  </si>
  <si>
    <t>540cj@163.com</t>
  </si>
  <si>
    <t>Russia, China, Recycled/Scrap, USA, Japan, Mexico, China</t>
  </si>
  <si>
    <t>Guantang Ind. Zone Chaozhou Guangdong China    PC: 515633</t>
  </si>
  <si>
    <t>Mr. Ryan Ding</t>
  </si>
  <si>
    <t>dsj@xl-tungsten.com</t>
  </si>
  <si>
    <t>China, Myanmar, Cambodia, Malaysia, Kazakhstan, Portugal, Mongolia, Austria, Luxembourg, Brazil, Republic Of Korea, Guyana, Chile, Laos, Colombia, Ecuador, Argentina, Hungary, Japan, India, Canada, Belgium, Namibia, Peru, Germany, Ethiopia, Russia, Vietnam, Singapore, USA, Egypt, Sierra Leone, Madagascar, Ivory Coast, Thailand, Bolivia, Netherlands, Ireland, Slovakia, France, Nigeria, United Kingdom, Switzerland, Spain, Djibouti, Czech Republic, Zimbabwe, Suriname, Israel, Australia, Estonia, Indonesia</t>
  </si>
  <si>
    <t>1-6-64 Sennari-cho Toyonaka, Osaka 561-0829 Japan</t>
  </si>
  <si>
    <t>Mr. Akira Kawaguchi</t>
  </si>
  <si>
    <t>akawaguc@jnm.co.jp</t>
  </si>
  <si>
    <t>Recycled/Scrap, Myanmar, Cambodia, Malaysia, Kazakhstan, Portugal, Austria, Mongolia, Luxembourg, Republic Of Korea, Brazil, Guyana, Chile, Laos, Ecuador, Argentina, Hungary, Japan, India, Canada, Belgium, Namibia, China, Peru, Germany, Ethiopia, Russia, Vietnam, USA, Egypt, Madagascar, Sierra Leone, Ivory Coast, Thailand, Bolivia, Netherlands, Ireland, Slovakia, Nigeria, France, United Kingdom, Switzerland, Spain, Djibouti, Czech Republic, Zimbabwe, Suriname, Israel, Australia, Indonesia, Estonia, DRC or an adjoining country (Covered Countries)</t>
  </si>
  <si>
    <t>Marunouchi Nijubashi Building 3-2-3, Marunouchi, Chiyoda-ku, Tokyo 100-8117, Japan</t>
  </si>
  <si>
    <t>Mr. Tadakazu Kagami</t>
  </si>
  <si>
    <t>tkagami@mmc.co.jp</t>
  </si>
  <si>
    <t>Australia, Peru, Russia, United Kingdom, Japan, Canada, Recycled/Scrap, Mexico, China, Papua New Guinea, Indonesia, Mongolia, Austria, Mozambique, DRC or an adjoining country (Covered Countries), Chile</t>
  </si>
  <si>
    <t>China, Indonesia, Papua New Guinea, Australia, Argentina, Chile, Peru, Canada, Recycled/Scrap, Japan</t>
  </si>
  <si>
    <t>Austria</t>
  </si>
  <si>
    <t>Bergia 33, St. Martin i-S, Styria, Austria A-8543</t>
  </si>
  <si>
    <t>Steffen Schmidt</t>
  </si>
  <si>
    <t>s.schmidt@wolfram.at</t>
  </si>
  <si>
    <t>China, Recycled/Scrap, DRC or an adjoining country (Covered Countries), Austria, Australia, Rwanda, Russia, Argentina, Belgium, Bolivia, Brazil, Cambodia, Canada, Chile, Colombia, Ivory Coast, Czech Republic, Djibouti, Ecuador, Egypt, Estonia, Ethiopia, France, Germany, Guyana, Hungary, India, Indonesia, Ireland, Israel, Japan, Kazakhstan, Vietnam</t>
  </si>
  <si>
    <t>Changlong Town, Chongyi County, Ganzhou City, Jiangxi Province, PR China</t>
  </si>
  <si>
    <t>Mike Yang</t>
  </si>
  <si>
    <t>tungsten.export@w.jx.cn</t>
  </si>
  <si>
    <t>Argentina, Papua New Guinea, Singapore, USA, Guinea, Japan, Canada, China, Brazil, Mexico, Chile, Australia, Peru, Recycled/Scrap, Portugal, Spain, Bolivia</t>
  </si>
  <si>
    <t>Dokmai, Pravet, Thailand</t>
  </si>
  <si>
    <t>Jeroen Dejonckheere</t>
  </si>
  <si>
    <t>jeroen.dejonckheere@ap.umicore.com</t>
  </si>
  <si>
    <t>USA, China, Thailand, Peru, Belgium, Indonesia, Recycled/Scrap, Brazil</t>
  </si>
  <si>
    <t>Henan Industry Zone, Xinbin District, Laibin City, GuangXi Province, China</t>
  </si>
  <si>
    <t>Liu Bing</t>
  </si>
  <si>
    <t>ice8417733@163.com</t>
  </si>
  <si>
    <t>China, Recycled/Scrap, Malaysia, Mexico, Russia, DRC or an adjoining country (Covered Countries), Switzerland, USA, Indonesia, Bolivia, Canada, Brazil, Australia, Japan</t>
  </si>
  <si>
    <t>Rodovia BR 383 Km 94, Sao Joao Del Rei, Minas Gerais, Brasil</t>
  </si>
  <si>
    <t>Sergio Hallak</t>
  </si>
  <si>
    <t>shallak@amg-br.com</t>
  </si>
  <si>
    <t>Recycled/Scrap, DRC or an adjoining country (Covered Countries), Myanmar, Cambodia, Malaysia, Kazakhstan, Portugal, Austria, Mongolia, Luxembourg, Guyana, Brazil, Republic Of Korea, Chile, Laos, Ecuador, Colombia, Argentina, Hungary, Japan, India, Canada, Belgium, Namibia, China, Peru, Ethiopia, Germany, Russia, Vietnam, Singapore, USA, Egypt, Madagascar, Sierra Leone, Ivory Coast, Thailand, Bolivia, Netherlands, Ireland, Slovakia, Nigeria, France, United Kingdom, Switzerland, Spain, Djibouti, Czech Republic, Zimbabwe, Suriname, Israel, Australia, Indonesia, Estonia</t>
  </si>
  <si>
    <t>Onsan, Republic of Korea</t>
  </si>
  <si>
    <t>Jeong Hoon Shin</t>
  </si>
  <si>
    <t>jhshin@lsnikko.com</t>
  </si>
  <si>
    <t>Republic Of Korea, Brazil, Chile, Recycled/Scrap, Singapore, China, USA, Japan, Kazakhstan, India, Mexico, South Africa, Australia, Peru, Indonesia, DRC or an adjoining country (Covered Countries), Thailand</t>
  </si>
  <si>
    <t>云南省个旧市中山路73-1号2幢301室, 301, Building 2, 73-1, Zhongshan Road, Gejiu, Yunnan, China</t>
  </si>
  <si>
    <t>Mr. Chen</t>
  </si>
  <si>
    <t>gjyxys@126.com</t>
  </si>
  <si>
    <t>Singapore, China, USA, Japan, Uzbekistan, United Kingdom, Malaysia, Bolivia, Switzerland, Canada, Belgium, South Africa, Mexico, Australia, Chile, Indonesia, Recycled/Scrap, Peru</t>
  </si>
  <si>
    <t>Datun, Gejiu City, Yunnan, China P.R.</t>
  </si>
  <si>
    <t>Mr. Zhou Xiaobin</t>
  </si>
  <si>
    <t>zxb4495@sina.com</t>
  </si>
  <si>
    <t>Recycled/Scrap, Singapore, China, Myanmar, India, Brazil, USA</t>
  </si>
  <si>
    <t>No. 1 Smelting Road, Jinhu West Road, Gejiu Yunnan, China</t>
  </si>
  <si>
    <t>Mr. Zhang Peng</t>
  </si>
  <si>
    <t>ytczp@126.com</t>
  </si>
  <si>
    <t xml:space="preserve">Myanmar, China, USA, Malaysia, Bolivia, Canada, Belgium, Brazil, Australia, Peru, Ethiopia, Germany, Indonesia, DRC or an adjoining country (Covered Countries), Recycled/Scrap, </t>
  </si>
  <si>
    <t>Mitsui Mining and Smelting Co., Ltd., 2081 Tosen, Oomuta, Fukuoka, Japan</t>
  </si>
  <si>
    <t>Mr. Tatsuyoshi Sakada</t>
  </si>
  <si>
    <t>sakada@mitsui-kinzoku.com</t>
  </si>
  <si>
    <t>Recycled/Scrap, Japan, Australia, Canada, Chile, South Africa, DRC or an adjoining country (Covered Countries), USA, China</t>
  </si>
  <si>
    <t>Takehara, Hiroshima, Japan</t>
  </si>
  <si>
    <t>Recycled/Scrap, Japan, Australia, Canada</t>
  </si>
  <si>
    <t>Balerna, Switzerland</t>
  </si>
  <si>
    <t>Michael Mesaric</t>
  </si>
  <si>
    <t>Michael.Mesaric@valcambi.com</t>
  </si>
  <si>
    <t>China, Japan, Australia, Switzerland, Germany, Recycled/Scrap, USA</t>
  </si>
  <si>
    <t>Shanghang, Fujian, China</t>
  </si>
  <si>
    <t>Leigui Qin 雷桂琴</t>
  </si>
  <si>
    <t>zjkyir@zjky.cn</t>
  </si>
  <si>
    <t>Russia, Papua New Guinea, Japan, Malaysia, Bolivia, Canada, Mongolia, Mozambique, China, Brazil, Poland, Australia, Peru, Kyrgyzstan, Indonesia, Recycled/Scrap, Uzbekistan, DRC or an adjoining country (Covered Countries)</t>
  </si>
  <si>
    <t>No. 45 Dongyongshan Road, Ganzhou City, Jiangzi Province, China</t>
  </si>
  <si>
    <t>Nancy Zhang</t>
  </si>
  <si>
    <t>nancy@sinda-tungsten.com</t>
  </si>
  <si>
    <t>Myanmar, Cambodia, Malaysia, Kazakhstan, Portugal, Austria, Mongolia, Luxembourg, Republic Of Korea, Brazil, Guyana, Chile, Laos, Ecuador, Colombia, Argentina, Hungary, Japan, India, Canada, Belgium, Namibia, China, Peru, Ethiopia, Germany, Russia, Singapore, Vietnam, USA, Egypt, Madagascar, Sierra Leone, Ivory Coast, Thailand, Bolivia, Netherlands, Ireland, Slovakia, France, Nigeria, United Kingdom, Switzerland, Spain, Djibouti, Czech Republic, Zimbabwe, Suriname, Israel, Australia, Indonesia, Estonia</t>
  </si>
  <si>
    <t>Yuexiu District, Guangzhou City, Guangdong Province, 111-115 Siyou new road 2501-05 Wuyang Metro Plaza, 25th floor</t>
  </si>
  <si>
    <t>洪海雄 Haixiong Hong</t>
  </si>
  <si>
    <t>htjk@goldjd.com</t>
  </si>
  <si>
    <t>China, Brazil, Australia, Peru, Japan, Recycled/Scrap, Russia</t>
  </si>
  <si>
    <t>Nanfeng Xiaozhai Malipo town, Malipo county, Yunnan, China</t>
  </si>
  <si>
    <t>Myanmar, Cambodia, Malaysia, Kazakhstan, Portugal, Austria, Mongolia, Luxembourg, Guyana, Republic Of Korea, Brazil, Chile, Laos, Ecuador, Colombia, Argentina, Hungary, Japan, India, Canada, Belgium, Namibia, China, Peru, Ethiopia, Germany, Russia, Vietnam, Singapore, USA, Egypt, Madagascar, Sierra Leone, Ivory Coast, Bolivia, Thailand, Netherlands, Ireland, Slovakia, Nigeria, France, United Kingdom, Switzerland, Spain, Djibouti, Czech Republic, Zimbabwe, Suriname, Israel, Australia, Indonesia, Estonia</t>
  </si>
  <si>
    <t>Aizuwakamatsu, Fukushima, Japan</t>
  </si>
  <si>
    <t>Jean-Paul Meutcheho (Director of Corporate Social Responsibility)</t>
  </si>
  <si>
    <t>jmeutcheho@globaladvancedmetals.com</t>
  </si>
  <si>
    <t>Argentina, Australia, Austria, Belgium, Bolivia, Brazil, Cambodia, Canada, Chile, China, Colombia, Ivory Coast, Czech Republic, Djibouti, Ecuador, Egypt, Estonia, Ethiopia, France, Germany, Guyana, Hungary, India, Indonesia, Ireland, Israel, Japan, Kazakhstan, Mozambique, Portugal, Vietnam, Sierra Leone, Peru, Angola, Nigeria, Uganda, Zambia, Zimbabwe, Netherlands, DRC or an adjoining country (Covered Countries), Rwanda, United Kingdom, USA, Spain, Recycled/Scrap, Myanmar, Malaysia, Mongolia, Luxembourg, Republic Of Korea, Laos, South Sudan, Tanzania, Namibia, Central African Republic, Burundi, Russia, Singapore, Madagascar, Thailand, Slovakia, Switzerland, Suriname, Mozambique</t>
  </si>
  <si>
    <t>15 Twelfth Ave. East, P. O. Box 1347, Williston, ND 58802-1347</t>
  </si>
  <si>
    <t>Marc Pane</t>
  </si>
  <si>
    <t>M.Pane@sabinmetalcorp.com</t>
  </si>
  <si>
    <t>Canada, Russia, USA, China, Brazil, Mexico, Portugal, Recycled/Scrap, Thailand</t>
  </si>
  <si>
    <t>No.3, Yanwei Road, Jincheng Town, Laizhou, Yantai, Shandong, China</t>
  </si>
  <si>
    <t>Mr. Luan (Department Head of Raw Material Dept.)</t>
  </si>
  <si>
    <t>1966lwp@163.com</t>
  </si>
  <si>
    <t>China, Russia, Spain, Indonesia</t>
  </si>
  <si>
    <t>Zhaoyuan City</t>
  </si>
  <si>
    <t>Cai Jiansheng 蔡建生</t>
  </si>
  <si>
    <t>zhaojinjinglian@zhaojin.cn</t>
  </si>
  <si>
    <t>USA, China, Japan, Recycled/Scrap</t>
  </si>
  <si>
    <t>Hiratsuka, Japan</t>
  </si>
  <si>
    <t>Ken Oka</t>
  </si>
  <si>
    <t>k-oka@ml.tanaka.co.jp</t>
  </si>
  <si>
    <t>Japan, Recycled/Scrap, Singapore, China, USA, Uzbekistan, United Kingdom, Malaysia, Bolivia, Switzerland, Canada, Belgium, Mexico, South Africa, Chile, Australia, Indonesia, Brazil</t>
  </si>
  <si>
    <t>Sanmenxia City, Henan, China</t>
  </si>
  <si>
    <t>zjzx@zjgold.com</t>
  </si>
  <si>
    <t>China, Recycled/Scrap, Canada, Mongolia, Mozambique, Philippines, Australia, Thailand, Switzerland, Laos, Germany, Ethiopia, Japan, Indonesia, Russia</t>
  </si>
  <si>
    <t>Rua Curimatã, 2324  Ariquemes-RO Brazil CEP: 76870-229</t>
  </si>
  <si>
    <t>pcp.ro@meltmetais.com.br</t>
  </si>
  <si>
    <t>Myanmar, Cambodia, Malaysia, Kazakhstan, Portugal, Austria, Mongolia, Luxembourg, Republic Of Korea, Guyana, Brazil, Chile, Laos, Colombia, Ecuador, Argentina, Hungary, Japan, India, Canada, Belgium, Namibia, China, Peru, Ethiopia, Germany, Russia, Singapore, Vietnam, USA, Egypt, Sierra Leone, Madagascar, Ivory Coast, Bolivia, Thailand, Netherlands, Ireland, Slovakia, France, Nigeria, United Kingdom, Switzerland, Spain, Djibouti, Czech Republic, Zimbabwe, Suriname, Israel, Australia, Estonia, Indonesia, DRC or an adjoining country (Covered Countries), Recycled/Scrap, South Africa</t>
  </si>
  <si>
    <t>Plot CN 06 Tan Tien Industrial Zone, Vinh Bao District, Hai Phong, Vietnam</t>
  </si>
  <si>
    <t>Ms. Li Mei (Tracy) Luo</t>
  </si>
  <si>
    <t>tracy_llm@aliyun.com</t>
  </si>
  <si>
    <t xml:space="preserve">Myanmar, Angola, Cambodia, Malaysia, Kazakhstan, Portugal, Austria, Mongolia, Luxembourg, Brazil, Guyana, Republic Of Korea, Chile, Laos, Ecuador, Colombia, Argentina, South Sudan, Hungary, Japan, Tanzania, Zambia, DRC or an adjoining country (Covered Countries), India, Canada, Belgium, Namibia, China, Central African Republic, Peru, Germany, Ethiopia, Russia, Burundi, Vietnam, Singapore, USA, Egypt, Sierra Leone, Madagascar, Bolivia, Thailand, Netherlands, Ireland, Slovakia, Nigeria, France, Rwanda, United Kingdom, Switzerland, Spain, Djibouti, Czech Republic, Zimbabwe, Uganda, Suriname, Israel, Australia, Indonesia, Estonia, Ivory Coast, Recycled/Scrap, Vietnam, </t>
  </si>
  <si>
    <t>Tinh Tuc Town, Nguyen Binh District, Cao Bang Province, VietNam</t>
  </si>
  <si>
    <t>Hoa Pham</t>
  </si>
  <si>
    <t>hoapham86@gmail.com</t>
  </si>
  <si>
    <t xml:space="preserve">Canada, Vietnam, USA, China, Brazil, Chile, Indonesia, Recycled/Scrap, DRC or an adjoining country (Covered Countries), Malaysia, Vietnam, </t>
  </si>
  <si>
    <t>Quy Hop Town, Quy Hop District, Nghe An Province, Viet Nam</t>
  </si>
  <si>
    <t>Nguyen Ngoc Nam</t>
  </si>
  <si>
    <t>namnn.kt@gmail.com</t>
  </si>
  <si>
    <t>Capolona, Italy</t>
  </si>
  <si>
    <t>tcaspa@tcaspa.com</t>
  </si>
  <si>
    <t>Italy, Recycled/Scrap, China, Japan</t>
  </si>
  <si>
    <t>Sudan</t>
  </si>
  <si>
    <t>Khartoum, Sudan</t>
  </si>
  <si>
    <t>info@minerals.gov.sd</t>
  </si>
  <si>
    <t>China, Sudan</t>
  </si>
  <si>
    <t>350-3 Hyeondeok-ro, Hyendeok-myeon, Pyeongtaek-si, Gyeonggi-do, 17969</t>
  </si>
  <si>
    <t>Kim Kang Hoon</t>
  </si>
  <si>
    <t>kanghoon119@naver.com</t>
  </si>
  <si>
    <t>178, Binh Thuan Street, 27th neighbourhood, Tan Quang Ward, Tuyen Quang City, Tuyen Quang Province, Vietnam</t>
  </si>
  <si>
    <t>Duong Quoc Hien</t>
  </si>
  <si>
    <t>duonghientqc@yahoo.com</t>
  </si>
  <si>
    <t xml:space="preserve">Vietnam, Indonesia, Vietnam, </t>
  </si>
  <si>
    <t>Unit No: EZ-03-04, Plot No: DMCC-EZ3-04, Jumeirah Lakes Towers, Dubai, United Arab Emirates</t>
  </si>
  <si>
    <t>Jamie Belino</t>
  </si>
  <si>
    <t>jamie.belino@aletihadgold.com</t>
  </si>
  <si>
    <t>Recycled/Scrap, Myanmar, Cambodia, Malaysia, Kazakhstan, Portugal, Austria, Mongolia, Luxembourg, Republic Of Korea, Guyana, Brazil,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Turkey, United Arab Emirates</t>
  </si>
  <si>
    <t>aa.achmad@yahoo.com</t>
  </si>
  <si>
    <t>Av. Joao Ferreira Penna, 281 Distrito industrial III, CEP 14707-202 Bebedouro, Sao Paulo, Brazil</t>
  </si>
  <si>
    <t>Fernando Junior</t>
  </si>
  <si>
    <t>fernandojunior@magnusmetais.com.br</t>
  </si>
  <si>
    <t>Argentina, Australia, Austria, Belgium, Bolivia, Brazil, Cambodia, Canada, Chile, China, Colombia, Ivory Coast, Czech Republic, Djibouti, Ecuador, Egypt, Estonia, Ethiopia, France, Germany, Guyana, Hungary, India, Indonesia, Ireland, Israel, Japan, Kazakhstan, Mongolia, Slovakia, USA, Zimbabwe, Peru, Singapore, Netherlands, Switzerland, Republic Of Korea, Madagascar, Thailand, Recycled/Scrap, DRC or an adjoining country (Covered Countries), Myanmar, Malaysia, Portugal, Luxembourg, Laos, Namibia, Russia, Vietnam, Sierra Leone, Nigeria, United Kingdom, Spain, Suriname</t>
  </si>
  <si>
    <t>399 Kilvert St, Warwick, RI 02886</t>
  </si>
  <si>
    <t>Mike Gervais</t>
  </si>
  <si>
    <t>Mike@geibrefining.com</t>
  </si>
  <si>
    <t>USA, Recycled/Scrap, Indonesia, China, Switzerland</t>
  </si>
  <si>
    <t>550 Old Bordentown Road, Fairless Hills, PA 19030</t>
  </si>
  <si>
    <t>Todd Willis, Michael E. Randolph Jr.</t>
  </si>
  <si>
    <t>twillis@armetals.com</t>
  </si>
  <si>
    <t>1111 Jenkins Road, Gastonia NC</t>
  </si>
  <si>
    <t>Craig Hafner</t>
  </si>
  <si>
    <t>Craig@dblockmetals.com</t>
  </si>
  <si>
    <t>DRC or an adjoining country (Covered Countries), Recycled/Scrap, Indonesia, USA, China, Brazil, Ethiopia</t>
  </si>
  <si>
    <t>106, Building 27, Yonghong Village, Hetang District, Zhuzhou, Hunan, China</t>
  </si>
  <si>
    <t>Peter Tang</t>
  </si>
  <si>
    <t>tang396919@hotmail.com</t>
  </si>
  <si>
    <t>DRC or an adjoining country (Covered Countries), Recycled/Scrap, Myanmar, Cambodia, Malaysia, Kazakhstan, Portugal, Mongolia, Austria, Luxembourg, Republic Of Korea, Brazil, Guyana, Chile, Laos, Ecuador, Colombia, Argentina, Hungary, Japan, India, Canada, Belgium, Namibia, China, Peru, Germany, Ethiopia, Russia, Vietnam, Singapore, USA, Egypt, Madagascar, Sierra Leone, Ivory Coast, Thailand, Bolivia, Netherlands, Ireland, Slovakia, France, Nigeria, United Kingdom, Switzerland, Spain, Djibouti, Czech Republic, Zimbabwe, Israel, Australia, Indonesia, Estonia</t>
  </si>
  <si>
    <t>Kawasan Industri san Pelabuhan Jelitik Sunailiat, Kepulauan Bangka Belitung Province</t>
  </si>
  <si>
    <t>Mr. Sam Chandra</t>
  </si>
  <si>
    <t>sam@atdmmj.com</t>
  </si>
  <si>
    <t>Argentina, Australia, Austria, Belgium, Bolivia, Brazil, Cambodia, Canada, Chile, China, Colombia, Ivory Coast, Czech Republic, Djibouti, Ecuador, Egypt, Estonia, Ethiopia, France, Germany, Guyana, Hungary, India, Indonesia, Ireland, Israel, Japan, Kazakhstan, Portugal, Slovakia, Mongolia, Spain, Thailand, Vietnam, Namibia, Madagascar, Nigeria, Russia, Singapore, Sierra Leone</t>
  </si>
  <si>
    <t>Unecha town, Bryansk Region, Russia</t>
  </si>
  <si>
    <t>Dmitry Sabitov</t>
  </si>
  <si>
    <t>sabitov@wolframcompany.ru</t>
  </si>
  <si>
    <t>Recycled/Scrap, Russia, USA</t>
  </si>
  <si>
    <t>Lithuania</t>
  </si>
  <si>
    <t>Savanoriu Ave. 231, LT-02300, Vilnius, Lithuania</t>
  </si>
  <si>
    <t>Romas Ragauskas</t>
  </si>
  <si>
    <t>chieb@chi.lt</t>
  </si>
  <si>
    <t>Sweden</t>
  </si>
  <si>
    <t>Skelleftehamn, Skellefteå Municipality, Västerbotten County, Sweden</t>
  </si>
  <si>
    <t>Hanna Schweitz</t>
  </si>
  <si>
    <t>hanna.schweitz@boliden.com</t>
  </si>
  <si>
    <t>Sweden, Canada, Philippines, China, Brazil, Italy, Indonesia, Ireland, Finland, Recycled/Scrap, Japan</t>
  </si>
  <si>
    <t>801 East Binjiang Road, Jiujiang, Jiangxi, China</t>
  </si>
  <si>
    <t>Feng Kaishun</t>
  </si>
  <si>
    <t>tonyzatanb@qq.com</t>
  </si>
  <si>
    <t>DRC or an adjoining country (Covered Countries), Myanmar, Cambodia, Malaysia, Kazakhstan, Portugal, Mongolia, Austria, Luxembourg, Brazil, Guyana, Republic Of Korea,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Indonesia, Estonia, Recycled/Scrap</t>
  </si>
  <si>
    <t>Nieuwe Dreef 33, Beerse, Belgium</t>
  </si>
  <si>
    <t>Inge Hofkens</t>
  </si>
  <si>
    <t>Inge.Hofkens@metallo.com</t>
  </si>
  <si>
    <t>Belgium, DRC or an adjoining country (Covered Countries), Myanmar, Cambodia, Malaysia, Kazakhstan, Portugal, Austria, Mongolia, Luxembourg, Republic Of Korea, Guyana, Brazil, Chile, Laos, Colombia, Ecuador, Argentina, Hungary, Japan, India, Canada, Namibia, China, Peru, Ethiopia, Germany, Russia, Vietnam, Singapore, USA, Egypt, Sierra Leone, Madagascar, Ivory Coast, Bolivia, Thailand, Netherlands, Ireland, Slovakia, Nigeria, France, United Kingdom, Switzerland, Spain, Djibouti, Czech Republic, Zimbabwe, Suriname, Israel, Australia, Estonia, Indonesia, Belgium, Recycled/Scrap</t>
  </si>
  <si>
    <t>Road Oruro to Cala Cala, km 7.5, Bolivia</t>
  </si>
  <si>
    <t>Marcelo Cespedes</t>
  </si>
  <si>
    <t>marcelo.cespedes@vinto.gob.bo</t>
  </si>
  <si>
    <t>Bolivia, Brazil, China, Canada, Indonesia, Malaysia, Peru, Recycled/Scrap, DRC or an adjoining country (Covered Countries), Myanmar, Cambodia, Kazakhstan, Portugal, Austria, Mongolia, Luxembourg, Guyana, Republic Of Korea, Chile, Laos, Colombia, Ecuador, Argentina, Hungary, Japan, India, Belgium, Namibia, Germany, Ethiopia, Russia, Vietnam, Singapore, USA, Egypt, Madagascar, Sierra Leone, Ivory Coast, Thailand, Netherlands, Ireland, Slovakia, Nigeria, France, United Kingdom, Switzerland, Spain, Djibouti, Czech Republic, Zimbabwe, Suriname, Israel, Australia, Estonia</t>
  </si>
  <si>
    <t>Lushan Street, Fuyang City, Zhejiang Province, China</t>
  </si>
  <si>
    <t>fcjyl@fcjyl.com</t>
  </si>
  <si>
    <t>China, Republic Of Korea, Japan, Recycled/Scrap</t>
  </si>
  <si>
    <t>Estrada dos Romeiros, Km 49, Bairro Guarapiranga, Pirapora do Bom Jesus City, São Paulo State, Brazil</t>
  </si>
  <si>
    <t>Analia Calmell del Solar Del Rio</t>
  </si>
  <si>
    <t>analia.calmelldelsolar@minsur.com</t>
  </si>
  <si>
    <t>Brazil, Thailand, China, Argentina, Australia, Austria, Belgium, Bolivia, Cambodia, Canada, Chile, Colombia, Ivory Coast, Czech Republic, Djibouti, Ecuador, Egypt, Estonia, Ethiopia, France, Germany, Guyana, Hungary, India, Indonesia, Ireland, Israel, Japan, Kazakhstan, Recycled/Scrap, Russia, DRC or an adjoining country (Covered Countries), Thailand</t>
  </si>
  <si>
    <t>Ms. Li Chunhui (李春慧)</t>
  </si>
  <si>
    <t>hh6822@163.com</t>
  </si>
  <si>
    <t>C-16 Lajpat Nagar, Central Market, New Delhi - 110024, India</t>
  </si>
  <si>
    <t>Mr. Ishwar Kumar</t>
  </si>
  <si>
    <t>jalan@jalanco.com, info@jalanco.com</t>
  </si>
  <si>
    <t>SA Jewel Centre - Suite 417, 225 Main Street, Johannesburg, 2001</t>
  </si>
  <si>
    <t>William Botes (General Manager)</t>
  </si>
  <si>
    <t>william@autraders.co.za</t>
  </si>
  <si>
    <t>Recycled/Scrap, Republic Of Korea, South Africa</t>
  </si>
  <si>
    <t>Bullion House, 115 Tambakata Lane, opp. Dagina Bazar, Pydhonie, Mumbai - 400003</t>
  </si>
  <si>
    <t>Sunny Parekh</t>
  </si>
  <si>
    <t>sunny.parekh@augmont.in</t>
  </si>
  <si>
    <t>#6/1, 1st Cross, 1st Stage Peenya,KIADB Main Road, Next to RTO Driving Test Track, 560 058</t>
  </si>
  <si>
    <t>Nikhil S Dhruv (Director)</t>
  </si>
  <si>
    <t>nikhil@bangalorerefinery.com</t>
  </si>
  <si>
    <t>Belgium, Canada, Philippines, Japan, China, Brazil, Malaysia, Bolivia, Peru, Germany, India, Recycled/Scrap</t>
  </si>
  <si>
    <t>Plot No. 1G, Phase 1, Plot No.393-111, Jumeirah Lakes Towers, DMCC, Sheik Zayed Road, P.O. Box 24305, Dubai, UAE</t>
  </si>
  <si>
    <t>Rami Shakarchi</t>
  </si>
  <si>
    <t>rami.shakarchi@emiratesgold.ae</t>
  </si>
  <si>
    <t>United Arab Emirates, China, DRC or an adjoining country (Covered Countries), Recycled/Scrap</t>
  </si>
  <si>
    <t xml:space="preserve">Plot No.393-111, Jumeirah Lakes Towers, P.O. Box 54495 International Airport Business &amp; Logistics Park, Bldg. A5
</t>
  </si>
  <si>
    <t>info@ipmr.com</t>
  </si>
  <si>
    <t>Freiburger Strasse 12, 75179 Pforzheim</t>
  </si>
  <si>
    <t>pforzheim@degussa-goldhandel.de</t>
  </si>
  <si>
    <t>Canada, Germany</t>
  </si>
  <si>
    <t>400 M2 Warehouse Q4,  286&amp;287, JLT, P.O.BOX 120811, Sharjah, U.A.E</t>
  </si>
  <si>
    <t>Norway</t>
  </si>
  <si>
    <t>Birkebeinervegen 24, 2316 Hamar, Norwegen</t>
  </si>
  <si>
    <t>Elin Ostli</t>
  </si>
  <si>
    <t>eo@karasmussen.com</t>
  </si>
  <si>
    <t>Ryabinovaya Street, 26, Moscow, Moskva, 121471, Russian Federation</t>
  </si>
  <si>
    <t>Dmitry Yakimov</t>
  </si>
  <si>
    <t>yakimov@artek.com.ru</t>
  </si>
  <si>
    <t>Barrio Arene, 20 - 48640 Berango Vizcaya, Spain</t>
  </si>
  <si>
    <t>Spain, Belgium, Recycled/Scrap, Austria, DRC or an adjoining country (Covered Countries), Myanmar, Angola, Cambodia, Malaysia, Kazakhstan, Portugal, Mongolia, Luxembourg, Guyana, Brazil, Republic Of Korea, Chile, Laos, Colombia, Ecuador, Argentina, South Sudan, Hungary, Japan, Tanzania, Zambia, India, Canada, Namibia, China, Central African Republic, Peru, Germany, Ethiopia, Russia, Burundi, Singapore, Vietnam, USA, Egypt, Madagascar, Sierra Leone, Bolivia, Thailand, Netherlands, Ireland, Slovakia, France, Nigeria, Rwanda, United Kingdom, Switzerland, Djibouti, Czech Republic, Zimbabwe, Uganda, Suriname, Israel, Australia, Estonia, Indonesia</t>
  </si>
  <si>
    <t>Endereço Estrada dos Marins, s/n, km 3,5 - B. Marins</t>
  </si>
  <si>
    <t>Vinicius Soares Regno</t>
  </si>
  <si>
    <t>vinicius@superligasmetais.com.br</t>
  </si>
  <si>
    <t>Brazil, China</t>
  </si>
  <si>
    <t>Via Pitagora, 11 20016 Pero (Mi)</t>
  </si>
  <si>
    <t>Graziella Gagliardi</t>
  </si>
  <si>
    <t>graziella.gagliardi@8853.it</t>
  </si>
  <si>
    <t>Vila Pitinga s/n, Zona Rural, Presidente Figueiredo, Brazil</t>
  </si>
  <si>
    <t>Peru</t>
  </si>
  <si>
    <t>Panamericana Highway, Km 238, Pisco-Ica, Perú</t>
  </si>
  <si>
    <t>Mr. Jose Ore Rivera</t>
  </si>
  <si>
    <t>jose.ore@minsur.com</t>
  </si>
  <si>
    <t>Peru, China, Thailand, Malaysia, Recycled/Scrap, Myanmar, Cambodia, Kazakhstan, Portugal, Mongolia, Austria, Luxembourg, Guyana, Republic Of Korea, Brazil, Chile, Laos, Ecuador, Colombia, Argentina, Hungary, Japan, India, Canada, Belgium, Namibia, Ethiopia, Germany, Russia, Vietnam, Singapore, USA, Egypt, Madagascar, Sierra Leone, Bolivia, Netherlands, Ireland, Slovakia, Nigeria, France, Rwanda, United Kingdom, Switzerland, Spain, Djibouti, Czech Republic, Zimbabwe, Suriname, Israel, Australia, Estonia, Indonesia, Ivory Coast, DRC or an adjoining country (Covered Countries)</t>
  </si>
  <si>
    <t>13#，SMES PARK,LONG TAN DU SHI ENDUSTRY CONCENTRATIVEDEVELOPMENT ZONE, THE 2ND SECTION OF THE 3RD RING ROAD, CHENGDU</t>
  </si>
  <si>
    <t>Chen Liyang</t>
  </si>
  <si>
    <t>service@tianzegold.com</t>
  </si>
  <si>
    <t>No.298 Haijing Road, Xiamen Export Processing Zone Xiamen, Fujian, China</t>
  </si>
  <si>
    <t>China, Recycled/Scrap, Russia, Canada, Thailand, DRC or an adjoining country (Covered Countries), Burundi, Rwanda, Niger, Malaysia, Bolivia, Spain, Brazil, Mexico, Australia, Nigeria, USA, Vietnam,  Ethiopia</t>
  </si>
  <si>
    <t>No.1, Tongcheng Ave., Industry City, Gaoan, 330800, China</t>
  </si>
  <si>
    <t>Mr. Chen Yousheng (Vice GM)</t>
  </si>
  <si>
    <t>13979582015@163.com</t>
  </si>
  <si>
    <t>China, USA</t>
  </si>
  <si>
    <t>Ganxian Hongjin Industry Zone 2nd Stage, Ganzhou Jiangxi, China</t>
  </si>
  <si>
    <t>Vincent Lau</t>
  </si>
  <si>
    <t>23026897@qq.com</t>
  </si>
  <si>
    <t>Recycled/Scrap, DRC or an adjoining country (Covered Countries), Myanmar, Cambodia, Malaysia, Kazakhstan, Portugal, Austria, Mongolia, Luxembourg, Guyana, Brazil, Republic Of Korea, Chile, Laos, Ecuador, Colombia, Argentina, Hungary, Japan, India, Canada, Belgium, Namibia, China, Peru, Germany, Ethiopia, Russia, Singapore, Vietnam, USA, Egypt, Madagascar, Sierra Leone, Ivory Coast, Bolivia, Thailand, Netherlands, Ireland, Slovakia, France, Nigeria, United Kingdom, Switzerland, Spain, Djibouti, Czech Republic, Zimbabwe, Suriname, Israel, Australia, Indonesia, Estonia</t>
  </si>
  <si>
    <t>Andorra</t>
  </si>
  <si>
    <t>C/ Prat de la creu 59-65 Esc. A 3º AD500, Andorra la Vella</t>
  </si>
  <si>
    <t>Elisabet Perez</t>
  </si>
  <si>
    <t>eperez@lorfebre.com</t>
  </si>
  <si>
    <t>China, Myanmar, Cambodia, Malaysia, Kazakhstan, Portugal, Austria, Mongolia, Luxembourg, Guyana, Brazil, Republic Of Korea, Chile, Laos, Colombia, Ecuador, Argentina, Hungary, Japan, India, Canada, Belgium, Namibia, Peru, Germany, Ethiopia, Russia, Singapore, Vietnam, USA, Egypt, Sierra Leone, Madagascar, Ivory Coast, Bolivia, Thailand, Netherlands, Ireland, Slovakia, Nigeria, France, Uzbekistan, United Kingdom, Switzerland, Spain, Djibouti, Czech Republic, Mexico, Zimbabwe, Suriname, Israel, Australia, Indonesia, Estonia</t>
  </si>
  <si>
    <t>France</t>
  </si>
  <si>
    <t>145, rue du Temple | 75003 Paris | France</t>
  </si>
  <si>
    <t>Tali Nadjar</t>
  </si>
  <si>
    <t>tali.nadjar@saamp.com</t>
  </si>
  <si>
    <t>Canada, China, Japan, Bolivia, USA, France, Recycled/Scrap, Russia</t>
  </si>
  <si>
    <t>Strada A, 32 – Loc. San Zeno 52100 Arezzo</t>
  </si>
  <si>
    <t>Filippo Finocchi</t>
  </si>
  <si>
    <t>filippo.finocchi@italpreziosi.it</t>
  </si>
  <si>
    <t>Italy, Recycled/Scrap, China, Philippines, Malaysia, Canada, Mongolia, Austria, Mozambique, Mexico, South Africa, USA, Australia, Germany</t>
  </si>
  <si>
    <t>Sunrise Project Area of Xiushui Industrial Park, Tonggu, Yichun, Jiangxi, China</t>
  </si>
  <si>
    <t>China, Republic Of Korea, Kazakhstan</t>
  </si>
  <si>
    <t>WuDu Industrial Park,Xiushui County,Jiangxi Province</t>
  </si>
  <si>
    <t>Jiasheng Yu</t>
  </si>
  <si>
    <t>yjstungsten@163.com</t>
  </si>
  <si>
    <t>Myanmar, Cambodia, Malaysia, Kazakhstan, Portugal, Mongolia, Austria, Luxembourg, Guyana, Republic Of Korea, Brazil, Chile, Laos, Ecuador, Argentina, Hungary, Japan, India, Canada, Belgium, Namibia, China, Peru, Ethiopia, Germany, Russia, Vietnam, USA, Egypt, Sierra Leone, Madagascar, Ivory Coast, Thailand, Bolivia, Netherlands, Ireland, Slovakia, Nigeria, France, United Kingdom, Switzerland, Spain, Djibouti, Czech Republic, Zimbabwe, Suriname, Israel, Australia, Estonia, Indonesia, Colombia</t>
  </si>
  <si>
    <t>Wugong Longshan Laohu Guxiang Village 1, Chaoan Zone of Chaozhou, Guangdong</t>
  </si>
  <si>
    <t>Ying Yan</t>
  </si>
  <si>
    <t>36739603@qq.com</t>
  </si>
  <si>
    <t>China, Recycled/Scrap, DRC or an adjoining country (Covered Countries)</t>
  </si>
  <si>
    <t>La Caridad, Nacozari, Sonora, Mexico</t>
  </si>
  <si>
    <t>Archibaldo Juan Deneken</t>
  </si>
  <si>
    <t>archibaldo.deneken@mm.gmexico.com</t>
  </si>
  <si>
    <t>Chile, Mexico, China, Japan, Republic Of Korea, Bolivia,  Germany, Recycled/Scrap</t>
  </si>
  <si>
    <t>Montréal, Quebec, Canada</t>
  </si>
  <si>
    <t>Teresa Bent</t>
  </si>
  <si>
    <t>Teresa.Bent@glencore-ca.com</t>
  </si>
  <si>
    <t>Recycled/Scrap, Canada, Chile, Peru, USA, China, Japan, Brazil, Australia, Germany, DRC or an adjoining country (Covered Countries), Argentina, Zambia, Switzerland, Indonesia, Bolivia</t>
  </si>
  <si>
    <t>Jumeirah Lakes Towers Almas Tower, Level: 35 D, E, F, G, H P.O.Box: 116858, Sheikh Zayed Road Dubai – U.A.E.</t>
  </si>
  <si>
    <t>Dina Kaloti</t>
  </si>
  <si>
    <t>dina@kalotipm.com</t>
  </si>
  <si>
    <t>United Arab Emirates, Japan</t>
  </si>
  <si>
    <t>Chile</t>
  </si>
  <si>
    <t>Sexta Industrial 8147, Mejillones II Región</t>
  </si>
  <si>
    <t>Richard Kang</t>
  </si>
  <si>
    <t>Richard@prmchile.com</t>
  </si>
  <si>
    <t>DRC or an adjoining country (Covered Countries), Argentina, USA, Japan, Zambia, Switzerland, Canada, China, Australia, Chile, Peru, Germany, Indonesia</t>
  </si>
  <si>
    <t>143-15(Bieungdo-dong) Gunsansandan-ro, Gunsan-si, Jeollabuk-do, Korea, 573-450</t>
  </si>
  <si>
    <t>JH Ahn</t>
  </si>
  <si>
    <t>jhahn@sungeel.com</t>
  </si>
  <si>
    <t>Myanmar, Cambodia, Malaysia, Kazakhstan, Portugal, Mongolia, Austria, Luxembourg, Guyana, Republic Of Korea, Brazil, Chile, Laos, Colombia, Ecuador, Argentina, Hungary, Japan, India, Canada, Belgium, Namibia, China, Peru, Germany, Ethiopia, Russia, Singapore, Vietnam, USA, Egypt, Madagascar, Sierra Leone, Ivory Coast, Bolivia, Thailand, Netherlands, Ireland, Slovakia, France, Nigeria, United Kingdom, Switzerland, Spain, Djibouti, Czech Republic, Zimbabwe, Israel, Australia, Indonesia, Estonia, Recycled/Scrap</t>
  </si>
  <si>
    <t>No.12, Donghong Road, Lincun Community, Tangxia Town, Dongguan, Guangdong, China</t>
  </si>
  <si>
    <t>Mr. Xuguang Zhang</t>
  </si>
  <si>
    <t>xg-zhang@ciexpo-epe.com</t>
  </si>
  <si>
    <t>Sector 6A, Sidcul Integrate Industrial Estate Area, Haridwar, India-249402</t>
  </si>
  <si>
    <t>Siddharth Gogia</t>
  </si>
  <si>
    <t>dealing.bullion@kundangroup.com</t>
  </si>
  <si>
    <t>C/Jose Antonio Nave 2-10, Toledo, Espana</t>
  </si>
  <si>
    <t>Esther Canete</t>
  </si>
  <si>
    <t>ecanete@crmsynergies.com</t>
  </si>
  <si>
    <t>Khasra No-7/2, Rampura Dehat, Shyampuria Milling Industries, Kashipur Road, District U.S. Nagar, Rudrapur-263153, Uttarakhand</t>
  </si>
  <si>
    <t>Tripti Bansal</t>
  </si>
  <si>
    <t>tbansal@youngbuilders.in</t>
  </si>
  <si>
    <t>60-1 Otarube, Kosaka-machi, Kazuno-gun, Akita 017-0202 Japan</t>
  </si>
  <si>
    <t>Kishu Okuda</t>
  </si>
  <si>
    <t>okudak@dowa.co.jp</t>
  </si>
  <si>
    <t>Recycled/Scrap, Canada, Japan, Australia, Mexico</t>
  </si>
  <si>
    <t>2368 East Enterprise Parkway, Twinsburg, OH 44087</t>
  </si>
  <si>
    <t>Eric Ozan</t>
  </si>
  <si>
    <t>eozan@metallicresources.com</t>
  </si>
  <si>
    <t>USA, Recycled/Scrap</t>
  </si>
  <si>
    <t>Building B, 48 Dongfu Road, Suzhou Industrial Park, Jiangsu Province, P.R. China 215123</t>
  </si>
  <si>
    <t>Mr. Xiaodong Li</t>
  </si>
  <si>
    <t>xiaodong.li@metalor.com</t>
  </si>
  <si>
    <t>China, South Africa, Recycled/Scrap, Brazil, Switzerland, Singapore, Indonesia, Russia</t>
  </si>
  <si>
    <t>Kwai Chung, Hong Kong</t>
  </si>
  <si>
    <t>China, USA, Japan, Australia, Peru, Switzerland, Recycled/Scrap, Switzerland</t>
  </si>
  <si>
    <t>Estonia</t>
  </si>
  <si>
    <t>Molycorp Silmet AS, Kesk 2, Sillamäe, Estonia</t>
  </si>
  <si>
    <t>Julia Ignatova</t>
  </si>
  <si>
    <t>j.ignatova@neomaterials.com</t>
  </si>
  <si>
    <t>DRC or an adjoining country (Covered Countries), Recycled/Scrap, Myanmar, Cambodia, Malaysia, Kazakhstan, Portugal, Mongolia, Austria, Luxembourg, Guyana, Brazil, Republic Of Korea, Chile, Laos, Colombia, Ecuador, Argentina, Hungary, Japan, India, Canada, Belgium, Namibia, China, Peru, Germany, Ethiopia, Russia, Singapore, Vietnam, USA, Egypt, Madagascar, Sierra Leone, Ivory Coast, Bolivia, Thailand, Netherlands, Ireland, Slovakia, Nigeria, France, United Kingdom, Switzerland, Spain, Djibouti, Czech Republic, Zimbabwe, Suriname, Israel, Australia, Indonesia, Estonia, Burundi, Mozambique, Rwanda</t>
  </si>
  <si>
    <t>The Moscow Special Alloys Processing Plant, 31 Ul. Obrucheva, Moscow 117246, Russia</t>
  </si>
  <si>
    <t>lotdel@mzss.ru</t>
  </si>
  <si>
    <t>Russia, China, Bolivia, Recycled/Scrap, Chile, Australia, Canada, Japan, Peru, Chile, Indonesia, New Zealand, Saudi Arabia, Turkey, United Arab Emirates, USA, Uzbekistan</t>
  </si>
  <si>
    <t>Jl. Ketapang RT.19/12 Kel. Air Itam Kec. Bukit Intan Pangkal Pinang Provinsi Kepulauan Kepulauan Bangka Belitung</t>
  </si>
  <si>
    <t>Santi</t>
  </si>
  <si>
    <t>primatimah@yahoo.com</t>
  </si>
  <si>
    <t>Australia</t>
  </si>
  <si>
    <t>Newburn, Australia</t>
  </si>
  <si>
    <t>Nathan Edwards</t>
  </si>
  <si>
    <t>Nathan.edwards@perthmint.com.au</t>
  </si>
  <si>
    <t>Papua New Guinea, China, Republic Of Korea, Australia, Chile, Bolivia, Peru, Recycled/Scrap, Australia</t>
  </si>
  <si>
    <t>New Zealand</t>
  </si>
  <si>
    <t>350 Neilson Street, Onehunga, Auckland 1061, New Zealand</t>
  </si>
  <si>
    <t>Adam van Sambeek (Treasury Manager)</t>
  </si>
  <si>
    <t>adam@morrisandwatson.co.nz</t>
  </si>
  <si>
    <t>New Zealand, USA, Recycled/Scrap, India, Japan</t>
  </si>
  <si>
    <t>Czechia</t>
  </si>
  <si>
    <t>Vídeňská 104, 252 42 Vestec, Czech Republic</t>
  </si>
  <si>
    <t>Daniel Chvatal</t>
  </si>
  <si>
    <t>daniel.chvatal@safina.cz</t>
  </si>
  <si>
    <t>Czech Republic, Recycled/Scrap, Bolivia</t>
  </si>
  <si>
    <t>300, 301/1A, Rackipalayam Pirivu, Narasimhanaickenpalayam, Mettupalayam Road, Coimbatore - 641 031</t>
  </si>
  <si>
    <t>Manikandan.R</t>
  </si>
  <si>
    <t>manikandan.r@ejindia.com</t>
  </si>
  <si>
    <t>7315 Industrial Park Blvd, Mentor, OH</t>
  </si>
  <si>
    <t>Grayson Alexy</t>
  </si>
  <si>
    <t>info@alexymetals.com</t>
  </si>
  <si>
    <t>Mauritania</t>
  </si>
  <si>
    <t>Avenue de l'independence, BP 623, Nouakchott, Nouakchott Ouest</t>
  </si>
  <si>
    <t>Alec Sellem</t>
  </si>
  <si>
    <t>alec@sellemindustries.com</t>
  </si>
  <si>
    <t>No. 9 Industrial Park, Hitachi Ohmiya-city, Ibaraki Pref., Japan</t>
  </si>
  <si>
    <t>Australia, Bolivia, Brazil, Burundi, DRC or an adjoining country (Covered Countries), Ethiopia, India, Mozambique, Namibia, Nigeria, Rwanda, Sierra Leone, Zimbabwe,  Recycled/Scrap, Germany, China, Japan, Canada</t>
  </si>
  <si>
    <t>Liesinger Flur-Gasse 4, 1230 Vienna, Austria</t>
  </si>
  <si>
    <t>Marcus Fasching</t>
  </si>
  <si>
    <t>marcus.fasching@oegussa.at</t>
  </si>
  <si>
    <t>Austria, Indonesia, China, Japan, Recycled/Scrap, Peru, Colombia, Mongolia, Italy</t>
  </si>
  <si>
    <t>Australia, Bolivia, Brazil, Burundi, DRC or an adjoining country (Covered Countries), Ethiopia, India, Mozambique, Namibia, Nigeria, Rwanda, Sierra Leone, Zimbabwe, Recycled/Scrap</t>
  </si>
  <si>
    <t>251 Industrial Blvd, Greenville, NC 27834</t>
  </si>
  <si>
    <t>Lori Benn</t>
  </si>
  <si>
    <t>Lorib@metallix.com</t>
  </si>
  <si>
    <t>No. 3, Chunyi Road, Industrial Park</t>
  </si>
  <si>
    <t>Mr. Huang Shuigen</t>
  </si>
  <si>
    <t>489673857@qq.com</t>
  </si>
  <si>
    <t>China, DRC or an adjoining country (Covered Countries), Recycled/Scrap, USA, Australia, Mozambique, Canada</t>
  </si>
  <si>
    <t>Cyril (Hongshi) Xie</t>
  </si>
  <si>
    <t>cyril@3vusainc.com</t>
  </si>
  <si>
    <t>75 Pennsylvania Ave, Warwick</t>
  </si>
  <si>
    <t>Raymond Farnsworth</t>
  </si>
  <si>
    <t>rfarnsworth@peaseandcurren.com</t>
  </si>
  <si>
    <t>1223 County Line Road, Boyertown, PA, 19512, US</t>
  </si>
  <si>
    <t xml:space="preserve">Mozambique, Australia, Canada, Recycled/Scrap, DRC or an adjoining country (Covered Countries), Myanmar, Angola, Cambodia, Malaysia, Kazakhstan, Portugal, Mongolia, Austria, Luxembourg, Guyana, Brazil, Republic Of Korea, Chile, Laos, Ecuador, Colombia, Argentina, South Sudan, Hungary, Japan, Tanzania, Zambia, India, Belgium, Namibia, China, Central African Republic, Peru, Germany, Ethiopia, Burundi, Russia, Singapore, Vietnam, USA, Egypt, Madagascar, Sierra Leone, Ivory Coast, Bolivia, Thailand, Netherlands, Ireland, Slovakia, Nigeria, France, Rwanda, United Kingdom, Switzerland, Spain, Djibouti, Czech Republic, Uganda, Zimbabwe, Suriname, Israel, Estonia, Indonesia, Vietnam, </t>
  </si>
  <si>
    <t>San Zeno Strada B 1/3, Arezzo, 52100</t>
  </si>
  <si>
    <t>Francesco Ricciardi</t>
  </si>
  <si>
    <t>info@safimet.com</t>
  </si>
  <si>
    <t>Italy, USA, China</t>
  </si>
  <si>
    <t>Gujarat Hosiery Mill Compound, B/h. Vijay Petrol Pump, Raakhial Road, Ahmedabad - 380 021</t>
  </si>
  <si>
    <t>Mr. Chirag</t>
  </si>
  <si>
    <t>admin@gujaratgoldcentre.com</t>
  </si>
  <si>
    <t>Myanmar, Cambodia, Malaysia, Kazakhstan, Portugal, Mongolia, Austria, Luxembourg, Guyana, Brazil, Republic Of Korea, Chile, Laos, Ecuador, Argentina, Hungary, Japan, India, Canada, Belgium, Namibia, China, Peru, Ethiopia, Germany, Russia, Vietnam, USA, Egypt, Sierra Leone, Madagascar, Bolivia, Thailand, Netherlands, Ireland, Slovakia, Nigeria, France, United Kingdom, Switzerland, Spain, Djibouti, Czech Republic, Zimbabwe, Suriname, Israel, Australia, Indonesia, Estonia, Recycled/Scrap</t>
  </si>
  <si>
    <t>Parwanoo, Himachal Pradesh, India</t>
  </si>
  <si>
    <t>Ameet Guptaa (Partner of Sai Refinery)</t>
  </si>
  <si>
    <t>sairefinery@gmail.com</t>
  </si>
  <si>
    <t>India, Indonesia, Recycled/Scrap</t>
  </si>
  <si>
    <t>Chelyabinskaya Obl., Kyshtym, Ul., Celjabinsk Celjabinskaja, Russia, 95519</t>
  </si>
  <si>
    <t>Mrs. Lyubov Kirillova</t>
  </si>
  <si>
    <t>Kirillova_Lyubov@kmez.rcc-group.ru</t>
  </si>
  <si>
    <t>Russia, Saudi Arabia</t>
  </si>
  <si>
    <t>Lot 148, Jalan PBR 20, Kawasan Perindustrian Bukit Rambai (Fasa 4A), 75250</t>
  </si>
  <si>
    <t>Miss Low (Administration Manager)</t>
  </si>
  <si>
    <t>low@modeltech.com.my</t>
  </si>
  <si>
    <t>Netherlands, Philippines, China, Thailand, Recycled/Scrap, Germany, Malaysia, New Zealand, Russia</t>
  </si>
  <si>
    <t>500 Quality Blvd, Fairfield, OH 45014</t>
  </si>
  <si>
    <t>Mike Menz</t>
  </si>
  <si>
    <t>menzm@qgold.com</t>
  </si>
  <si>
    <t>DRC or an adjoining country (Covered Countries), Myanmar, Cambodia, Malaysia, Kazakhstan, Portugal, Austria, Mongolia, Luxembourg, Republic Of Korea, Guyana, Brazil, Chile, Laos, Ecuador, Colombia, Argentina, Hungary, Japan, India, Canada, Belgium, Namibia, China, Peru, Ethiopia, Germany, Russia, Singapore, Vietnam, USA, Egypt, Madagascar, Sierra Leone, Ivory Coast, Thailand, Bolivia, Netherlands, Ireland, Slovakia, France, Nigeria, United Kingdom, Switzerland, Spain, Djibouti, Czech Republic, Zimbabwe, Suriname, Israel, Australia, Indonesia, Estonia, Angola, South Sudan, Tanzania, Zambia, Italy, Central African Republic, Burundi, Rwanda, Uganda</t>
  </si>
  <si>
    <t>905 Fern Hill Road, West Chester, PA 19380</t>
  </si>
  <si>
    <t>Ben Etherington</t>
  </si>
  <si>
    <t>ben@nathantrotter.com</t>
  </si>
  <si>
    <t>USA</t>
  </si>
  <si>
    <t>Jl. Ketapang Rt 01 Rw 01 Kelurahan Temberan Kecamatan Bukit Intan Kota Pangkalpinang</t>
  </si>
  <si>
    <t>Rua Augusto Valiatti, 77, Corveta – Araquari – Santa Catarina, ZIP Code: 89245-000</t>
  </si>
  <si>
    <t>Leandro Campos</t>
  </si>
  <si>
    <t>leandro.campos@cronimet.com.br</t>
  </si>
  <si>
    <t>Rua Senador Carlos Gomes de Oliveira,80 São José/SC Brazil Zip Code 88104-785</t>
  </si>
  <si>
    <t>Henrique Samy Pereira</t>
  </si>
  <si>
    <t>hsamy@crmdobrasil.com</t>
  </si>
  <si>
    <t>Zona Franca Palermo, Km3 Sitionuevo, Barranquilla COLOMBIA</t>
  </si>
  <si>
    <t>Ramiro Rodriguez Paz</t>
  </si>
  <si>
    <t>ramiro@sancus.es</t>
  </si>
  <si>
    <t>7 Ellman Street, Sunderland Ridge, Centurion, South Africa</t>
  </si>
  <si>
    <t>Tania Pelser</t>
  </si>
  <si>
    <t>tania.pelser@metcon.co.za</t>
  </si>
  <si>
    <t>CID000760</t>
  </si>
  <si>
    <t>Huichang Jinshunda Tin Co., Ltd.</t>
  </si>
  <si>
    <t>CID001977</t>
  </si>
  <si>
    <t>Umicore Brasil Ltda.</t>
  </si>
  <si>
    <t>Guarulhos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</si>
</sst>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sz val="10"/>
      <color theme="1"/>
      <name val="Verdana"/>
      <family val="2"/>
      <charset val="177"/>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FFFFFF"/>
        <bgColor rgb="FFFFFFFF"/>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000000"/>
      </left>
      <right style="thin">
        <color rgb="FF000000"/>
      </right>
      <top style="thin">
        <color rgb="FF000000"/>
      </top>
      <bottom/>
      <diagonal/>
    </border>
    <border>
      <left/>
      <right style="thin">
        <color rgb="FF003366"/>
      </right>
      <top style="thin">
        <color rgb="FF003366"/>
      </top>
      <bottom/>
      <diagonal/>
    </border>
    <border>
      <left style="thin">
        <color indexed="64"/>
      </left>
      <right style="thin">
        <color indexed="64"/>
      </right>
      <top style="thin">
        <color indexed="64"/>
      </top>
      <bottom style="thin">
        <color indexed="64"/>
      </bottom>
      <diagonal/>
    </border>
  </borders>
  <cellStyleXfs count="595">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xf numFmtId="0" fontId="1" fillId="0" borderId="0"/>
  </cellStyleXfs>
  <cellXfs count="470">
    <xf numFmtId="0" fontId="0" fillId="0" borderId="0" xfId="0"/>
    <xf numFmtId="0" fontId="16" fillId="33" borderId="10" xfId="0" applyFont="1" applyFill="1" applyBorder="1" applyAlignment="1" applyProtection="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Border="1" applyAlignment="1">
      <alignment horizontal="center" vertical="center"/>
    </xf>
    <xf numFmtId="0" fontId="0" fillId="33" borderId="0" xfId="0" applyFont="1" applyFill="1" applyBorder="1"/>
    <xf numFmtId="0" fontId="10" fillId="33" borderId="0" xfId="0" applyFont="1" applyFill="1" applyBorder="1"/>
    <xf numFmtId="0" fontId="15"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2" fillId="33" borderId="0" xfId="0" applyFont="1" applyFill="1" applyBorder="1" applyAlignment="1" applyProtection="1">
      <alignment vertical="center"/>
    </xf>
    <xf numFmtId="0" fontId="18" fillId="33" borderId="0" xfId="0" applyFont="1" applyFill="1" applyBorder="1" applyAlignment="1" applyProtection="1">
      <alignment horizontal="left" wrapText="1"/>
    </xf>
    <xf numFmtId="0" fontId="16" fillId="33" borderId="0" xfId="0" applyFont="1" applyFill="1" applyBorder="1" applyAlignment="1" applyProtection="1">
      <alignment vertical="center"/>
    </xf>
    <xf numFmtId="0" fontId="16" fillId="33" borderId="0" xfId="0" applyFont="1" applyFill="1" applyBorder="1" applyAlignment="1" applyProtection="1">
      <alignment horizontal="center" vertical="center"/>
    </xf>
    <xf numFmtId="0" fontId="0" fillId="33" borderId="0" xfId="0" applyFill="1" applyAlignment="1" applyProtection="1">
      <alignment vertical="top"/>
    </xf>
    <xf numFmtId="0" fontId="10" fillId="33" borderId="0" xfId="0" applyFont="1" applyFill="1" applyBorder="1" applyProtection="1">
      <protection hidden="1"/>
    </xf>
    <xf numFmtId="0" fontId="12" fillId="33" borderId="0" xfId="0" applyFont="1" applyFill="1" applyBorder="1" applyAlignment="1" applyProtection="1">
      <alignment horizontal="center" vertical="top"/>
      <protection hidden="1"/>
    </xf>
    <xf numFmtId="0" fontId="12" fillId="33" borderId="0" xfId="0" applyFont="1" applyFill="1" applyBorder="1" applyAlignment="1" applyProtection="1">
      <alignment vertical="center"/>
      <protection hidden="1"/>
    </xf>
    <xf numFmtId="0" fontId="16"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Border="1" applyAlignment="1" applyProtection="1">
      <alignment horizontal="right" vertical="center"/>
      <protection hidden="1"/>
    </xf>
    <xf numFmtId="0" fontId="0" fillId="0" borderId="0" xfId="0" applyAlignment="1"/>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12" fillId="33" borderId="17"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6" fillId="33" borderId="18" xfId="570" applyFont="1" applyFill="1" applyBorder="1" applyAlignment="1">
      <alignment vertical="top" wrapText="1"/>
    </xf>
    <xf numFmtId="0" fontId="10" fillId="33" borderId="0" xfId="0" applyFont="1" applyFill="1" applyBorder="1" applyAlignment="1"/>
    <xf numFmtId="164" fontId="26" fillId="33" borderId="18" xfId="570" applyNumberFormat="1" applyFont="1" applyFill="1" applyBorder="1" applyAlignment="1">
      <alignment horizontal="center" vertical="top" wrapText="1"/>
    </xf>
    <xf numFmtId="0" fontId="12" fillId="33" borderId="0" xfId="0" applyFont="1" applyFill="1" applyBorder="1" applyAlignment="1">
      <alignment horizontal="left"/>
    </xf>
    <xf numFmtId="0" fontId="15" fillId="33" borderId="0" xfId="0" applyFont="1" applyFill="1" applyBorder="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2" fillId="33" borderId="21" xfId="0" applyFont="1" applyFill="1" applyBorder="1" applyAlignment="1" applyProtection="1">
      <alignment vertical="center"/>
    </xf>
    <xf numFmtId="0" fontId="4" fillId="33" borderId="16" xfId="0" applyFont="1" applyFill="1" applyBorder="1" applyAlignment="1" applyProtection="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pplyProtection="1">
      <alignment vertical="center"/>
    </xf>
    <xf numFmtId="0" fontId="4" fillId="33" borderId="24" xfId="0" applyFont="1" applyFill="1" applyBorder="1" applyAlignment="1" applyProtection="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pplyProtection="1">
      <alignment vertical="center"/>
    </xf>
    <xf numFmtId="0" fontId="12" fillId="33" borderId="25" xfId="0" applyFont="1" applyFill="1" applyBorder="1" applyAlignment="1" applyProtection="1">
      <alignment vertical="center"/>
    </xf>
    <xf numFmtId="0" fontId="4" fillId="33" borderId="26" xfId="0" applyFont="1" applyFill="1" applyBorder="1" applyAlignment="1" applyProtection="1">
      <alignment vertical="center"/>
    </xf>
    <xf numFmtId="0" fontId="15" fillId="33" borderId="27" xfId="0" applyFont="1" applyFill="1" applyBorder="1" applyAlignment="1" applyProtection="1">
      <alignment wrapText="1"/>
      <protection hidden="1"/>
    </xf>
    <xf numFmtId="0" fontId="0" fillId="34" borderId="19" xfId="0" applyFill="1" applyBorder="1" applyProtection="1"/>
    <xf numFmtId="0" fontId="15" fillId="33" borderId="28" xfId="0" applyFont="1" applyFill="1" applyBorder="1" applyAlignment="1" applyProtection="1">
      <alignment horizontal="right" vertical="center"/>
      <protection hidden="1"/>
    </xf>
    <xf numFmtId="0" fontId="31" fillId="33" borderId="0" xfId="0" applyFont="1" applyFill="1" applyBorder="1" applyAlignment="1" applyProtection="1">
      <alignment horizontal="right" vertical="center"/>
    </xf>
    <xf numFmtId="0" fontId="32" fillId="33" borderId="0" xfId="0" applyFont="1" applyFill="1" applyBorder="1" applyAlignment="1" applyProtection="1">
      <alignment vertical="center"/>
    </xf>
    <xf numFmtId="0" fontId="12" fillId="33" borderId="29" xfId="0" applyFont="1" applyFill="1" applyBorder="1" applyAlignment="1" applyProtection="1">
      <alignment vertical="center"/>
    </xf>
    <xf numFmtId="0" fontId="32" fillId="33" borderId="27" xfId="0" applyFont="1" applyFill="1" applyBorder="1" applyAlignment="1" applyProtection="1">
      <alignment vertical="center"/>
    </xf>
    <xf numFmtId="0" fontId="12" fillId="33" borderId="30" xfId="0" applyFont="1" applyFill="1" applyBorder="1" applyAlignment="1" applyProtection="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pplyProtection="1">
      <alignment horizontal="left" vertical="center"/>
    </xf>
    <xf numFmtId="0" fontId="4" fillId="33" borderId="31" xfId="0" applyFont="1" applyFill="1" applyBorder="1" applyAlignment="1" applyProtection="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pplyProtection="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pplyProtection="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pplyProtection="1">
      <alignment vertical="center"/>
    </xf>
    <xf numFmtId="0" fontId="5" fillId="33" borderId="22" xfId="0" applyFont="1" applyFill="1" applyBorder="1" applyAlignment="1" applyProtection="1">
      <alignment horizontal="left" vertical="top" wrapText="1"/>
      <protection hidden="1"/>
    </xf>
    <xf numFmtId="0" fontId="10" fillId="0" borderId="0" xfId="589" applyFont="1" applyFill="1" applyAlignment="1" applyProtection="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Border="1" applyAlignment="1" applyProtection="1">
      <alignment wrapText="1"/>
      <protection hidden="1"/>
    </xf>
    <xf numFmtId="0" fontId="12" fillId="33" borderId="0" xfId="0" applyFont="1" applyFill="1" applyBorder="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Border="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Border="1" applyAlignment="1" applyProtection="1">
      <alignment horizontal="center" vertical="center"/>
      <protection hidden="1"/>
    </xf>
    <xf numFmtId="0" fontId="16"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6" fillId="0" borderId="0" xfId="0" applyFont="1" applyAlignment="1">
      <alignment wrapText="1"/>
    </xf>
    <xf numFmtId="0" fontId="6"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0" fillId="0" borderId="0" xfId="0" applyFont="1" applyFill="1" applyBorder="1"/>
    <xf numFmtId="0" fontId="0" fillId="0" borderId="0" xfId="0" applyFont="1" applyFill="1" applyBorder="1"/>
    <xf numFmtId="0" fontId="5" fillId="0" borderId="35" xfId="0" applyNumberFormat="1" applyFont="1" applyFill="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NumberFormat="1" applyFont="1" applyFill="1" applyBorder="1" applyAlignment="1" applyProtection="1">
      <alignment vertical="center" wrapText="1"/>
      <protection hidden="1"/>
    </xf>
    <xf numFmtId="0" fontId="34" fillId="0" borderId="35" xfId="0" applyNumberFormat="1" applyFont="1" applyFill="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Alignment="1" applyProtection="1">
      <protection hidden="1"/>
    </xf>
    <xf numFmtId="0" fontId="6" fillId="0" borderId="0" xfId="0" applyFont="1" applyFill="1"/>
    <xf numFmtId="0" fontId="6" fillId="0" borderId="0" xfId="0" applyFont="1" applyFill="1" applyAlignment="1">
      <alignment wrapText="1"/>
    </xf>
    <xf numFmtId="0" fontId="6"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6" fillId="0" borderId="15" xfId="0" applyFont="1" applyFill="1" applyBorder="1" applyAlignment="1" applyProtection="1">
      <alignment wrapText="1"/>
    </xf>
    <xf numFmtId="0" fontId="0" fillId="0" borderId="0" xfId="0" applyFill="1" applyAlignment="1" applyProtection="1">
      <alignment vertical="top" wrapText="1"/>
    </xf>
    <xf numFmtId="0" fontId="6" fillId="0" borderId="15" xfId="0" applyFont="1" applyFill="1" applyBorder="1" applyAlignment="1" applyProtection="1">
      <alignment vertical="top" wrapText="1"/>
    </xf>
    <xf numFmtId="0" fontId="6" fillId="0" borderId="0" xfId="0" applyFont="1" applyFill="1" applyAlignment="1" applyProtection="1">
      <alignment wrapText="1"/>
    </xf>
    <xf numFmtId="0" fontId="5" fillId="0" borderId="0" xfId="0" applyFont="1" applyFill="1" applyAlignment="1" applyProtection="1">
      <alignment wrapText="1"/>
    </xf>
    <xf numFmtId="0" fontId="6" fillId="0" borderId="0" xfId="0" applyFont="1" applyFill="1" applyAlignment="1" applyProtection="1">
      <alignment horizontal="center" wrapText="1"/>
    </xf>
    <xf numFmtId="0" fontId="30" fillId="0" borderId="15" xfId="0" applyFont="1" applyFill="1" applyBorder="1" applyAlignment="1" applyProtection="1">
      <alignment wrapText="1"/>
    </xf>
    <xf numFmtId="0" fontId="33" fillId="0" borderId="0" xfId="0" applyFont="1" applyFill="1" applyBorder="1" applyAlignment="1" applyProtection="1">
      <alignment horizontal="right" wrapText="1"/>
    </xf>
    <xf numFmtId="0" fontId="0" fillId="34" borderId="19" xfId="0" applyFill="1" applyBorder="1"/>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Border="1" applyAlignment="1" applyProtection="1">
      <alignment horizontal="center" vertical="center" wrapText="1"/>
      <protection hidden="1"/>
    </xf>
    <xf numFmtId="49" fontId="16"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Border="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pplyProtection="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pplyProtection="1">
      <alignment vertical="center" wrapText="1"/>
    </xf>
    <xf numFmtId="0" fontId="5" fillId="33" borderId="22"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5" fillId="0" borderId="43" xfId="0" applyFont="1" applyFill="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Fill="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45" xfId="0" applyFill="1" applyBorder="1"/>
    <xf numFmtId="0" fontId="80" fillId="11" borderId="0" xfId="0" applyFont="1" applyFill="1" applyProtection="1">
      <protection hidden="1"/>
    </xf>
    <xf numFmtId="0" fontId="0" fillId="0" borderId="0" xfId="0" applyFont="1" applyFill="1" applyAlignment="1">
      <alignment vertical="top"/>
    </xf>
    <xf numFmtId="0" fontId="54" fillId="0" borderId="0" xfId="0" applyFont="1" applyFill="1" applyBorder="1" applyAlignment="1">
      <alignment vertical="top" wrapText="1"/>
    </xf>
    <xf numFmtId="0" fontId="5" fillId="36" borderId="35" xfId="0" applyNumberFormat="1"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Fill="1" applyBorder="1" applyAlignment="1" applyProtection="1">
      <alignment wrapText="1"/>
    </xf>
    <xf numFmtId="0" fontId="26" fillId="33" borderId="18" xfId="570" applyFont="1" applyFill="1" applyBorder="1" applyAlignment="1">
      <alignment horizontal="left" vertical="top" wrapText="1"/>
    </xf>
    <xf numFmtId="0" fontId="7" fillId="0" borderId="18" xfId="0" applyFont="1" applyFill="1" applyBorder="1" applyAlignment="1" applyProtection="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10" fillId="33" borderId="0" xfId="0" applyNumberFormat="1" applyFont="1" applyFill="1" applyBorder="1"/>
    <xf numFmtId="164" fontId="15" fillId="33" borderId="0" xfId="0" applyNumberFormat="1" applyFont="1" applyFill="1" applyBorder="1" applyAlignment="1">
      <alignment horizontal="center" vertical="center" wrapText="1"/>
    </xf>
    <xf numFmtId="164" fontId="12" fillId="33" borderId="0" xfId="0" applyNumberFormat="1" applyFont="1" applyFill="1" applyBorder="1" applyAlignment="1">
      <alignment horizontal="center" vertical="center"/>
    </xf>
    <xf numFmtId="164" fontId="0" fillId="33" borderId="0" xfId="0" applyNumberFormat="1" applyFont="1" applyFill="1" applyBorder="1"/>
    <xf numFmtId="164" fontId="28"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Border="1" applyAlignment="1" applyProtection="1">
      <alignment vertical="center" wrapText="1"/>
      <protection hidden="1"/>
    </xf>
    <xf numFmtId="0" fontId="47" fillId="33" borderId="0" xfId="0" applyFont="1" applyFill="1" applyBorder="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2" fillId="33" borderId="55" xfId="0" applyFont="1" applyFill="1" applyBorder="1" applyAlignment="1" applyProtection="1">
      <alignment vertical="center" wrapText="1"/>
    </xf>
    <xf numFmtId="166" fontId="26" fillId="33" borderId="19" xfId="570" applyNumberFormat="1" applyFont="1" applyFill="1" applyBorder="1" applyAlignment="1">
      <alignment horizontal="center" vertical="top" wrapText="1"/>
    </xf>
    <xf numFmtId="0" fontId="6" fillId="0" borderId="35" xfId="0" applyNumberFormat="1" applyFont="1" applyFill="1" applyBorder="1" applyAlignment="1" applyProtection="1">
      <alignment vertical="top" wrapText="1"/>
      <protection hidden="1"/>
    </xf>
    <xf numFmtId="9" fontId="82"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4" fillId="0" borderId="0" xfId="0" applyFont="1" applyFill="1" applyAlignment="1" applyProtection="1">
      <alignment vertical="top" wrapText="1"/>
      <protection hidden="1"/>
    </xf>
    <xf numFmtId="0" fontId="52"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0" fillId="0" borderId="0" xfId="0" applyFont="1" applyAlignment="1">
      <alignment vertical="top" wrapText="1"/>
    </xf>
    <xf numFmtId="0" fontId="52" fillId="0" borderId="0" xfId="0" applyFont="1" applyAlignment="1">
      <alignment vertical="top" wrapText="1"/>
    </xf>
    <xf numFmtId="9" fontId="50"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4" fillId="36" borderId="19" xfId="0" applyFont="1" applyFill="1" applyBorder="1" applyAlignment="1">
      <alignment vertical="center" wrapText="1"/>
    </xf>
    <xf numFmtId="0" fontId="54"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5" fillId="33" borderId="0" xfId="0" applyFont="1" applyFill="1" applyBorder="1" applyAlignment="1" applyProtection="1">
      <alignment horizontal="center" vertical="center" wrapText="1"/>
      <protection hidden="1"/>
    </xf>
    <xf numFmtId="0" fontId="16" fillId="33" borderId="10" xfId="0" applyFont="1" applyFill="1" applyBorder="1" applyAlignment="1" applyProtection="1">
      <alignment vertical="center" wrapText="1"/>
    </xf>
    <xf numFmtId="0" fontId="15" fillId="33" borderId="38" xfId="0" applyFont="1" applyFill="1" applyBorder="1" applyAlignment="1" applyProtection="1">
      <alignment wrapText="1"/>
    </xf>
    <xf numFmtId="0" fontId="43"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7" fillId="33" borderId="58" xfId="0" applyFont="1" applyFill="1" applyBorder="1" applyAlignment="1" applyProtection="1">
      <alignment horizontal="center" vertical="center" wrapText="1"/>
      <protection locked="0" hidden="1"/>
    </xf>
    <xf numFmtId="0" fontId="7"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8"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50" fillId="0" borderId="0" xfId="502" applyNumberFormat="1" applyFont="1" applyFill="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54" fillId="0" borderId="0" xfId="0" applyFont="1" applyFill="1" applyAlignment="1">
      <alignment vertical="top" wrapText="1"/>
    </xf>
    <xf numFmtId="0" fontId="90"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4" fillId="0" borderId="0" xfId="0" applyFont="1" applyAlignment="1">
      <alignment vertical="top" wrapText="1"/>
    </xf>
    <xf numFmtId="0" fontId="0" fillId="33" borderId="59" xfId="0" applyFill="1" applyBorder="1" applyAlignment="1" applyProtection="1">
      <alignment vertical="center" wrapText="1"/>
      <protection locked="0"/>
    </xf>
    <xf numFmtId="0" fontId="50" fillId="0" borderId="0" xfId="0" applyFont="1" applyFill="1" applyAlignment="1">
      <alignment vertical="top" wrapText="1"/>
    </xf>
    <xf numFmtId="164" fontId="54" fillId="0" borderId="0" xfId="480" applyFont="1" applyFill="1" applyAlignment="1">
      <alignment horizontal="left" vertical="top" wrapText="1"/>
    </xf>
    <xf numFmtId="164" fontId="50" fillId="0" borderId="0" xfId="480" applyFont="1" applyFill="1" applyAlignment="1">
      <alignment vertical="top" wrapText="1"/>
    </xf>
    <xf numFmtId="0" fontId="82" fillId="0" borderId="0" xfId="502" applyNumberFormat="1" applyFont="1" applyFill="1" applyAlignment="1">
      <alignment horizontal="left" vertical="top" wrapText="1"/>
    </xf>
    <xf numFmtId="0" fontId="50" fillId="0" borderId="0" xfId="0" applyFont="1" applyAlignment="1">
      <alignment horizontal="left" vertical="top" wrapText="1"/>
    </xf>
    <xf numFmtId="0" fontId="50" fillId="0" borderId="0" xfId="502" applyFont="1" applyFill="1" applyAlignment="1">
      <alignment horizontal="left" vertical="top" wrapText="1"/>
    </xf>
    <xf numFmtId="0" fontId="50" fillId="0" borderId="0" xfId="569" applyFont="1" applyFill="1" applyAlignment="1">
      <alignment vertical="top" wrapText="1"/>
    </xf>
    <xf numFmtId="164" fontId="54" fillId="0" borderId="0" xfId="480" applyFont="1" applyFill="1" applyAlignment="1">
      <alignment vertical="top" wrapText="1"/>
    </xf>
    <xf numFmtId="9" fontId="93" fillId="0" borderId="0" xfId="480" applyNumberFormat="1" applyFont="1" applyFill="1" applyAlignment="1">
      <alignment horizontal="left" vertical="top" wrapText="1"/>
    </xf>
    <xf numFmtId="0" fontId="82" fillId="0" borderId="0" xfId="502" applyNumberFormat="1" applyFont="1" applyFill="1" applyAlignment="1">
      <alignment horizontal="justify" vertical="top"/>
    </xf>
    <xf numFmtId="0" fontId="50" fillId="0" borderId="0" xfId="502" applyNumberFormat="1" applyFont="1" applyFill="1" applyAlignment="1">
      <alignment horizontal="justify" vertical="top"/>
    </xf>
    <xf numFmtId="0" fontId="50" fillId="0" borderId="0" xfId="0" applyFont="1" applyAlignment="1">
      <alignment horizontal="left" vertical="top"/>
    </xf>
    <xf numFmtId="0" fontId="50" fillId="0" borderId="0" xfId="502" applyFont="1" applyFill="1" applyAlignment="1">
      <alignment horizontal="justify" vertical="top"/>
    </xf>
    <xf numFmtId="0" fontId="93" fillId="0" borderId="0" xfId="502" applyFont="1" applyFill="1" applyAlignment="1">
      <alignment horizontal="justify" vertical="top"/>
    </xf>
    <xf numFmtId="0" fontId="82" fillId="0" borderId="0" xfId="502" applyNumberFormat="1" applyFont="1" applyFill="1" applyBorder="1" applyAlignment="1">
      <alignment horizontal="left" vertical="top" wrapText="1"/>
    </xf>
    <xf numFmtId="0" fontId="50" fillId="0" borderId="0" xfId="502" applyFont="1" applyFill="1" applyBorder="1" applyAlignment="1">
      <alignment horizontal="left" vertical="top" wrapText="1"/>
    </xf>
    <xf numFmtId="0" fontId="55" fillId="0" borderId="0" xfId="502" applyFont="1" applyFill="1" applyBorder="1" applyAlignment="1">
      <alignment horizontal="left" vertical="top" wrapText="1"/>
    </xf>
    <xf numFmtId="0" fontId="93" fillId="0" borderId="0" xfId="502" applyFont="1" applyFill="1" applyAlignment="1">
      <alignment horizontal="left" vertical="top" wrapText="1"/>
    </xf>
    <xf numFmtId="164" fontId="54" fillId="0" borderId="0" xfId="480" applyFont="1" applyFill="1" applyAlignment="1" applyProtection="1">
      <alignment horizontal="left" vertical="top" wrapText="1"/>
    </xf>
    <xf numFmtId="0" fontId="94" fillId="0" borderId="0" xfId="502" applyFont="1" applyFill="1" applyAlignment="1">
      <alignment vertical="top" wrapText="1"/>
    </xf>
    <xf numFmtId="0" fontId="82" fillId="0" borderId="0" xfId="502" applyFont="1" applyFill="1" applyAlignment="1">
      <alignment vertical="top" wrapText="1"/>
    </xf>
    <xf numFmtId="164" fontId="54" fillId="0" borderId="0" xfId="480" applyFont="1" applyFill="1" applyBorder="1" applyAlignment="1">
      <alignment vertical="top" wrapText="1"/>
    </xf>
    <xf numFmtId="0" fontId="95" fillId="0" borderId="0" xfId="0" applyFont="1"/>
    <xf numFmtId="164" fontId="54" fillId="0" borderId="0" xfId="480" applyFont="1" applyFill="1" applyAlignment="1" applyProtection="1">
      <alignment horizontal="left" vertical="top" wrapText="1"/>
      <protection hidden="1"/>
    </xf>
    <xf numFmtId="0" fontId="96"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4" fillId="36" borderId="19" xfId="0" applyFont="1" applyFill="1" applyBorder="1" applyAlignment="1">
      <alignment vertical="top" wrapText="1"/>
    </xf>
    <xf numFmtId="0" fontId="54" fillId="36" borderId="19" xfId="502" applyNumberFormat="1"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0" fontId="2" fillId="0" borderId="0" xfId="592" applyAlignment="1">
      <alignment vertical="top" wrapText="1"/>
    </xf>
    <xf numFmtId="0" fontId="54" fillId="0" borderId="0" xfId="0" applyFont="1" applyFill="1" applyAlignment="1">
      <alignment vertical="top" wrapText="1"/>
    </xf>
    <xf numFmtId="0" fontId="51" fillId="0" borderId="0" xfId="0" applyFont="1" applyFill="1" applyAlignment="1">
      <alignment vertical="top" wrapText="1"/>
    </xf>
    <xf numFmtId="0" fontId="0" fillId="0" borderId="0" xfId="0" applyFont="1" applyFill="1" applyAlignment="1">
      <alignment vertical="top"/>
    </xf>
    <xf numFmtId="0" fontId="54" fillId="0" borderId="0" xfId="0" applyFont="1" applyFill="1" applyBorder="1" applyAlignment="1">
      <alignment vertical="top" wrapText="1"/>
    </xf>
    <xf numFmtId="0" fontId="0" fillId="0" borderId="0" xfId="0" applyFont="1" applyFill="1" applyBorder="1" applyAlignment="1">
      <alignment horizontal="left" vertical="top" wrapText="1"/>
    </xf>
    <xf numFmtId="0" fontId="54"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4" fillId="0" borderId="0" xfId="502" applyNumberFormat="1" applyFont="1" applyFill="1" applyAlignment="1">
      <alignment horizontal="left" vertical="top" wrapText="1"/>
    </xf>
    <xf numFmtId="0" fontId="54" fillId="0" borderId="0" xfId="502" applyNumberFormat="1" applyFont="1" applyFill="1" applyAlignment="1">
      <alignment horizontal="justify" vertical="top"/>
    </xf>
    <xf numFmtId="0" fontId="54" fillId="0" borderId="0" xfId="502" applyNumberFormat="1" applyFont="1" applyFill="1" applyBorder="1" applyAlignment="1">
      <alignment horizontal="left" vertical="top" wrapText="1"/>
    </xf>
    <xf numFmtId="0" fontId="50" fillId="0" borderId="0" xfId="502" applyNumberFormat="1" applyFont="1" applyFill="1" applyAlignment="1">
      <alignment horizontal="left" vertical="top" wrapText="1"/>
    </xf>
    <xf numFmtId="0" fontId="54" fillId="0" borderId="0" xfId="506" applyNumberFormat="1" applyFont="1" applyFill="1" applyAlignment="1">
      <alignment horizontal="left" vertical="top" wrapText="1"/>
    </xf>
    <xf numFmtId="0" fontId="54" fillId="0" borderId="0" xfId="0" applyFont="1" applyFill="1" applyAlignment="1">
      <alignment vertical="top" wrapText="1"/>
    </xf>
    <xf numFmtId="0" fontId="0" fillId="0" borderId="0" xfId="0" applyFont="1" applyFill="1" applyAlignment="1">
      <alignmen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50" fillId="0" borderId="0" xfId="502" applyFont="1" applyAlignment="1">
      <alignment horizontal="left" vertical="top" wrapText="1"/>
    </xf>
    <xf numFmtId="0" fontId="82" fillId="0" borderId="0" xfId="502" applyFont="1" applyAlignment="1">
      <alignment horizontal="left" vertical="top" wrapText="1"/>
    </xf>
    <xf numFmtId="0" fontId="92" fillId="0" borderId="0" xfId="507" applyFont="1" applyAlignment="1">
      <alignment horizontal="left" vertical="top" wrapText="1"/>
    </xf>
    <xf numFmtId="0" fontId="50" fillId="0" borderId="0" xfId="507" applyFont="1" applyAlignment="1">
      <alignment horizontal="left" vertical="top" wrapText="1"/>
    </xf>
    <xf numFmtId="0" fontId="51" fillId="0" borderId="0" xfId="0" applyFont="1" applyAlignment="1">
      <alignment vertical="top" wrapText="1"/>
    </xf>
    <xf numFmtId="0" fontId="54" fillId="0" borderId="0" xfId="0" applyFont="1" applyAlignment="1">
      <alignment horizontal="left" vertical="top" wrapText="1"/>
    </xf>
    <xf numFmtId="0" fontId="89" fillId="0" borderId="0" xfId="0" applyFont="1" applyAlignment="1">
      <alignment vertical="top" wrapText="1"/>
    </xf>
    <xf numFmtId="9" fontId="0" fillId="0" borderId="0" xfId="0" applyNumberFormat="1" applyAlignment="1">
      <alignment horizontal="left" vertical="top" wrapText="1"/>
    </xf>
    <xf numFmtId="0" fontId="82" fillId="0" borderId="0" xfId="502" applyFont="1" applyAlignment="1">
      <alignment horizontal="justify" vertical="top"/>
    </xf>
    <xf numFmtId="0" fontId="0" fillId="0" borderId="0" xfId="0" applyAlignment="1">
      <alignment horizontal="left" vertical="top" wrapText="1"/>
    </xf>
    <xf numFmtId="0" fontId="51" fillId="0" borderId="0" xfId="527" applyFont="1" applyAlignment="1">
      <alignment vertical="top" wrapText="1"/>
    </xf>
    <xf numFmtId="0" fontId="0" fillId="33" borderId="19" xfId="0" applyFill="1" applyBorder="1" applyAlignment="1" applyProtection="1">
      <alignment horizontal="left" vertical="center" wrapText="1"/>
      <protection locked="0"/>
    </xf>
    <xf numFmtId="49" fontId="0" fillId="0" borderId="19" xfId="0" applyNumberFormat="1" applyFont="1" applyFill="1" applyBorder="1" applyProtection="1">
      <protection locked="0"/>
    </xf>
    <xf numFmtId="0" fontId="0" fillId="0" borderId="48" xfId="0" applyNumberFormat="1" applyFont="1" applyFill="1" applyBorder="1" applyAlignment="1" applyProtection="1">
      <alignment horizontal="left" vertical="center" wrapText="1"/>
      <protection locked="0" hidden="1"/>
    </xf>
    <xf numFmtId="0" fontId="0" fillId="0" borderId="19" xfId="0" applyNumberFormat="1" applyFont="1" applyFill="1" applyBorder="1" applyAlignment="1" applyProtection="1">
      <alignment vertical="center" wrapText="1"/>
      <protection locked="0" hidden="1"/>
    </xf>
    <xf numFmtId="0" fontId="0" fillId="0" borderId="48" xfId="0" applyNumberFormat="1" applyFont="1" applyFill="1" applyBorder="1" applyAlignment="1" applyProtection="1">
      <alignment horizontal="left" vertical="center" wrapText="1"/>
      <protection locked="0"/>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0" borderId="19" xfId="0" applyNumberFormat="1" applyFont="1" applyFill="1" applyBorder="1" applyAlignment="1" applyProtection="1">
      <alignment vertical="center" wrapText="1"/>
      <protection locked="0"/>
    </xf>
    <xf numFmtId="0" fontId="0" fillId="33" borderId="42" xfId="0" applyNumberFormat="1" applyFont="1" applyFill="1" applyBorder="1" applyAlignment="1" applyProtection="1">
      <alignment horizontal="left" vertical="center" wrapText="1"/>
      <protection locked="0"/>
    </xf>
    <xf numFmtId="0" fontId="0" fillId="0" borderId="57" xfId="0" applyNumberFormat="1" applyFont="1" applyFill="1" applyBorder="1" applyAlignment="1" applyProtection="1">
      <alignment vertical="center" wrapText="1"/>
      <protection locked="0"/>
    </xf>
    <xf numFmtId="0" fontId="0" fillId="33" borderId="19" xfId="0" applyNumberFormat="1" applyFont="1" applyFill="1" applyBorder="1" applyAlignment="1" applyProtection="1">
      <alignment horizontal="left" vertical="center" wrapText="1"/>
      <protection locked="0"/>
    </xf>
    <xf numFmtId="0" fontId="91" fillId="0" borderId="65" xfId="0" applyFont="1" applyBorder="1" applyAlignment="1" applyProtection="1">
      <alignment horizontal="left" vertical="center" wrapText="1"/>
      <protection locked="0"/>
    </xf>
    <xf numFmtId="0" fontId="91" fillId="37" borderId="66" xfId="0" applyFont="1" applyFill="1" applyBorder="1" applyAlignment="1" applyProtection="1">
      <alignment horizontal="left" vertical="center" wrapText="1"/>
      <protection locked="0"/>
    </xf>
    <xf numFmtId="0" fontId="99" fillId="0" borderId="67" xfId="0" applyFont="1" applyBorder="1" applyAlignment="1" applyProtection="1">
      <alignment wrapText="1"/>
      <protection locked="0"/>
    </xf>
    <xf numFmtId="164" fontId="26" fillId="0" borderId="48" xfId="570" applyNumberFormat="1" applyFont="1" applyFill="1" applyBorder="1" applyAlignment="1">
      <alignment horizontal="center" vertical="top" wrapText="1"/>
    </xf>
    <xf numFmtId="164" fontId="26" fillId="0" borderId="49" xfId="570" applyNumberFormat="1" applyFont="1" applyFill="1" applyBorder="1" applyAlignment="1">
      <alignment horizontal="center" vertical="top" wrapText="1"/>
    </xf>
    <xf numFmtId="164" fontId="26" fillId="0" borderId="11" xfId="570" applyNumberFormat="1" applyFont="1" applyFill="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Border="1" applyAlignment="1">
      <alignment horizontal="center"/>
    </xf>
    <xf numFmtId="0" fontId="27" fillId="33" borderId="0" xfId="0" applyFont="1" applyFill="1" applyBorder="1" applyAlignment="1">
      <alignment horizontal="center" vertical="center" wrapText="1"/>
    </xf>
    <xf numFmtId="0" fontId="27" fillId="33" borderId="60"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Fill="1" applyBorder="1" applyAlignment="1">
      <alignment horizontal="center" vertical="top" wrapText="1"/>
    </xf>
    <xf numFmtId="0" fontId="26" fillId="0" borderId="49" xfId="570" applyFont="1" applyFill="1" applyBorder="1" applyAlignment="1">
      <alignment horizontal="center" vertical="top" wrapText="1"/>
    </xf>
    <xf numFmtId="0" fontId="26"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33" borderId="61"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61"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pplyProtection="1">
      <alignment horizontal="center" vertical="center"/>
    </xf>
    <xf numFmtId="0" fontId="15" fillId="33" borderId="27" xfId="0" applyFont="1" applyFill="1" applyBorder="1" applyAlignment="1" applyProtection="1">
      <alignment horizontal="left" wrapText="1"/>
      <protection hidden="1"/>
    </xf>
    <xf numFmtId="49" fontId="16" fillId="33" borderId="61"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Border="1" applyAlignment="1" applyProtection="1">
      <alignment horizont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61"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xf>
    <xf numFmtId="0" fontId="84" fillId="33" borderId="61" xfId="487" applyFont="1" applyFill="1" applyBorder="1" applyAlignment="1" applyProtection="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16" fillId="0" borderId="61" xfId="0" applyFont="1" applyFill="1" applyBorder="1" applyAlignment="1" applyProtection="1">
      <alignment horizontal="left" vertical="center"/>
      <protection locked="0"/>
    </xf>
    <xf numFmtId="0" fontId="16" fillId="0" borderId="37" xfId="0" applyFont="1" applyFill="1" applyBorder="1" applyAlignment="1" applyProtection="1">
      <alignment horizontal="left" vertical="center"/>
      <protection locked="0"/>
    </xf>
    <xf numFmtId="9" fontId="16" fillId="33" borderId="61"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4" fillId="33" borderId="61"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62" xfId="0" applyNumberFormat="1" applyFont="1" applyFill="1" applyBorder="1" applyAlignment="1" applyProtection="1">
      <alignment horizontal="left" vertical="center" wrapText="1"/>
      <protection locked="0"/>
    </xf>
    <xf numFmtId="0" fontId="15" fillId="33" borderId="0" xfId="0" applyFont="1" applyFill="1" applyBorder="1" applyAlignment="1" applyProtection="1">
      <alignment horizontal="center" vertical="center" wrapText="1"/>
      <protection hidden="1"/>
    </xf>
    <xf numFmtId="0" fontId="16" fillId="33" borderId="63"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61" xfId="487" applyNumberFormat="1" applyFont="1" applyFill="1" applyBorder="1" applyAlignment="1" applyProtection="1">
      <alignment horizontal="left" vertical="center" wrapText="1"/>
      <protection locked="0"/>
    </xf>
    <xf numFmtId="49" fontId="87" fillId="33" borderId="10" xfId="487" applyNumberFormat="1" applyFont="1" applyFill="1" applyBorder="1" applyAlignment="1" applyProtection="1">
      <alignment horizontal="left" vertical="center" wrapText="1"/>
      <protection locked="0"/>
    </xf>
    <xf numFmtId="49" fontId="87" fillId="33" borderId="37" xfId="487" applyNumberFormat="1" applyFont="1" applyFill="1" applyBorder="1" applyAlignment="1" applyProtection="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61" xfId="487" applyNumberFormat="1" applyFont="1" applyFill="1" applyBorder="1" applyAlignment="1" applyProtection="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62" xfId="487" applyFont="1" applyFill="1" applyBorder="1" applyAlignment="1" applyProtection="1">
      <alignment horizontal="left" vertical="center" wrapText="1"/>
    </xf>
    <xf numFmtId="49" fontId="16" fillId="0" borderId="61" xfId="0" applyNumberFormat="1" applyFont="1" applyFill="1" applyBorder="1" applyAlignment="1" applyProtection="1">
      <alignment horizontal="left" vertical="center" wrapText="1"/>
      <protection locked="0"/>
    </xf>
    <xf numFmtId="49" fontId="16" fillId="0" borderId="10" xfId="0" applyNumberFormat="1" applyFont="1" applyFill="1" applyBorder="1" applyAlignment="1" applyProtection="1">
      <alignment horizontal="left" vertical="center" wrapText="1"/>
      <protection locked="0"/>
    </xf>
    <xf numFmtId="49" fontId="16" fillId="0" borderId="37" xfId="0" applyNumberFormat="1" applyFont="1" applyFill="1" applyBorder="1" applyAlignment="1" applyProtection="1">
      <alignment horizontal="left" vertical="center" wrapText="1"/>
      <protection locked="0"/>
    </xf>
    <xf numFmtId="165" fontId="15" fillId="33" borderId="34" xfId="0" applyNumberFormat="1" applyFont="1" applyFill="1" applyBorder="1" applyAlignment="1" applyProtection="1">
      <alignment horizontal="center" wrapText="1"/>
      <protection locked="0"/>
    </xf>
    <xf numFmtId="165" fontId="15" fillId="33" borderId="62"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22" fillId="0" borderId="27" xfId="487"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13" fillId="0" borderId="60"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 9 2" xfId="594"/>
    <cellStyle name="Normal 9 3" xfId="593"/>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patternType="solid">
          <fgColor rgb="FFFF0000"/>
          <bgColor rgb="FFFF0000"/>
        </patternFill>
      </fill>
    </dxf>
    <dxf>
      <fill>
        <patternFill patternType="solid">
          <fgColor rgb="FFA5A5A5"/>
          <bgColor rgb="FFA5A5A5"/>
        </patternFill>
      </fill>
    </dxf>
    <dxf>
      <fill>
        <patternFill>
          <bgColor rgb="FFFF0000"/>
        </patternFill>
      </fill>
    </dxf>
    <dxf>
      <fill>
        <patternFill>
          <bgColor indexed="13"/>
        </patternFill>
      </fill>
    </dxf>
    <dxf>
      <fill>
        <patternFill>
          <bgColor rgb="FFFF0000"/>
        </patternFill>
      </fill>
    </dxf>
    <dxf>
      <fill>
        <patternFill>
          <bgColor indexed="13"/>
        </patternFill>
      </fill>
    </dxf>
    <dxf>
      <fill>
        <patternFill>
          <bgColor rgb="FFFF0000"/>
        </patternFill>
      </fill>
    </dxf>
    <dxf>
      <fill>
        <patternFill>
          <bgColor indexed="13"/>
        </patternFill>
      </fill>
    </dxf>
    <dxf>
      <fill>
        <patternFill>
          <bgColor rgb="FFFF0000"/>
        </patternFill>
      </fill>
    </dxf>
    <dxf>
      <fill>
        <patternFill>
          <bgColor indexed="13"/>
        </patternFill>
      </fill>
    </dxf>
    <dxf>
      <fill>
        <patternFill>
          <bgColor rgb="FFFF0000"/>
        </patternFill>
      </fill>
    </dxf>
    <dxf>
      <fill>
        <patternFill>
          <bgColor indexed="13"/>
        </patternFill>
      </fill>
    </dxf>
    <dxf>
      <font>
        <color rgb="FFFF0000"/>
      </font>
      <fill>
        <patternFill patternType="none"/>
      </fill>
    </dxf>
    <dxf>
      <fill>
        <patternFill patternType="solid">
          <fgColor rgb="FFFFFF00"/>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20Responses/Eltek%20LTD%20RMI_CMRT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Smelter List"/>
      <sheetName val="Checker"/>
      <sheetName val="Product List"/>
      <sheetName val="Smelter Look-up"/>
      <sheetName val="L"/>
      <sheetName val="C"/>
      <sheetName val="SorP"/>
      <sheetName val="גיליון1"/>
      <sheetName val="Declaration"/>
    </sheetNames>
    <sheetDataSet>
      <sheetData sheetId="0"/>
      <sheetData sheetId="1"/>
      <sheetData sheetId="2"/>
      <sheetData sheetId="3"/>
      <sheetData sheetId="4"/>
      <sheetData sheetId="5"/>
      <sheetData sheetId="6">
        <row r="1">
          <cell r="A1" t="str">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ell>
        </row>
        <row r="4">
          <cell r="F4" t="str">
            <v>Source of Smelter Identification Number</v>
          </cell>
          <cell r="G4" t="str">
            <v xml:space="preserve">Smelter Street </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plank@emagi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emagin.com/images/pdf/CFSI_CMRT_eMagin.pdf" TargetMode="External"/><Relationship Id="rId4" Type="http://schemas.openxmlformats.org/officeDocument/2006/relationships/hyperlink" Target="mailto:jsaltarelli@emagi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4"/>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2" sqref="B52"/>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73"/>
      <c r="B2" s="38" t="s">
        <v>847</v>
      </c>
      <c r="C2" s="36"/>
      <c r="D2" s="206"/>
      <c r="E2" s="3"/>
      <c r="F2" s="36"/>
      <c r="G2" s="34"/>
    </row>
    <row r="3" spans="1:7">
      <c r="A3" s="373"/>
      <c r="B3" s="5" t="s">
        <v>839</v>
      </c>
      <c r="C3" s="6"/>
      <c r="D3" s="207"/>
      <c r="E3" s="3"/>
      <c r="F3" s="6"/>
      <c r="G3" s="34"/>
    </row>
    <row r="4" spans="1:7" ht="15.75">
      <c r="A4" s="373"/>
      <c r="B4" s="41" t="s">
        <v>849</v>
      </c>
      <c r="C4" s="7"/>
      <c r="D4" s="208"/>
      <c r="E4" s="3"/>
      <c r="F4" s="7"/>
      <c r="G4" s="34"/>
    </row>
    <row r="5" spans="1:7">
      <c r="A5" s="373"/>
      <c r="B5" s="40" t="s">
        <v>1040</v>
      </c>
      <c r="C5" s="4"/>
      <c r="D5" s="209"/>
      <c r="E5" s="3"/>
      <c r="F5" s="4"/>
      <c r="G5" s="34"/>
    </row>
    <row r="6" spans="1:7">
      <c r="A6" s="373"/>
      <c r="B6" s="8"/>
      <c r="C6" s="8"/>
      <c r="D6" s="210"/>
      <c r="E6" s="8"/>
      <c r="F6" s="8"/>
      <c r="G6" s="34"/>
    </row>
    <row r="7" spans="1:7">
      <c r="A7" s="373"/>
      <c r="B7" s="8"/>
      <c r="C7" s="8"/>
      <c r="D7" s="210"/>
      <c r="E7" s="8"/>
      <c r="F7" s="8"/>
      <c r="G7" s="34"/>
    </row>
    <row r="8" spans="1:7">
      <c r="A8" s="373"/>
      <c r="B8" s="8"/>
      <c r="C8" s="8"/>
      <c r="D8" s="210"/>
      <c r="E8" s="8"/>
      <c r="F8" s="8"/>
      <c r="G8" s="34"/>
    </row>
    <row r="9" spans="1:7">
      <c r="A9" s="373"/>
      <c r="B9" s="376" t="s">
        <v>850</v>
      </c>
      <c r="C9" s="376"/>
      <c r="D9" s="376"/>
      <c r="E9" s="376"/>
      <c r="F9" s="376"/>
      <c r="G9" s="34"/>
    </row>
    <row r="10" spans="1:7" ht="27" customHeight="1">
      <c r="A10" s="373"/>
      <c r="B10" s="377" t="s">
        <v>438</v>
      </c>
      <c r="C10" s="377"/>
      <c r="D10" s="377"/>
      <c r="E10" s="377"/>
      <c r="F10" s="377"/>
      <c r="G10" s="34"/>
    </row>
    <row r="11" spans="1:7" ht="27" customHeight="1">
      <c r="A11" s="373"/>
      <c r="B11" s="378"/>
      <c r="C11" s="378"/>
      <c r="D11" s="378"/>
      <c r="E11" s="378"/>
      <c r="F11" s="378"/>
      <c r="G11" s="34"/>
    </row>
    <row r="12" spans="1:7">
      <c r="A12" s="373"/>
      <c r="B12" s="42" t="s">
        <v>848</v>
      </c>
      <c r="C12" s="43" t="s">
        <v>851</v>
      </c>
      <c r="D12" s="211" t="s">
        <v>852</v>
      </c>
      <c r="E12" s="43" t="s">
        <v>612</v>
      </c>
      <c r="F12" s="43" t="s">
        <v>613</v>
      </c>
      <c r="G12" s="34"/>
    </row>
    <row r="13" spans="1:7" ht="33.75">
      <c r="A13" s="373"/>
      <c r="B13" s="2">
        <v>1</v>
      </c>
      <c r="C13" s="37" t="s">
        <v>1088</v>
      </c>
      <c r="D13" s="39" t="s">
        <v>876</v>
      </c>
      <c r="E13" s="194" t="s">
        <v>853</v>
      </c>
      <c r="F13" s="194"/>
      <c r="G13" s="34"/>
    </row>
    <row r="14" spans="1:7" ht="33.75">
      <c r="A14" s="373"/>
      <c r="B14" s="2">
        <v>2</v>
      </c>
      <c r="C14" s="37" t="s">
        <v>1088</v>
      </c>
      <c r="D14" s="39" t="s">
        <v>1025</v>
      </c>
      <c r="E14" s="194" t="s">
        <v>530</v>
      </c>
      <c r="F14" s="194" t="s">
        <v>531</v>
      </c>
      <c r="G14" s="34"/>
    </row>
    <row r="15" spans="1:7" ht="89.1" customHeight="1">
      <c r="A15" s="373"/>
      <c r="B15" s="379">
        <v>2.0099999999999998</v>
      </c>
      <c r="C15" s="370" t="s">
        <v>1088</v>
      </c>
      <c r="D15" s="382" t="s">
        <v>2265</v>
      </c>
      <c r="E15" s="195" t="s">
        <v>614</v>
      </c>
      <c r="F15" s="195" t="s">
        <v>617</v>
      </c>
      <c r="G15" s="34"/>
    </row>
    <row r="16" spans="1:7" ht="99" customHeight="1">
      <c r="A16" s="373"/>
      <c r="B16" s="380"/>
      <c r="C16" s="371"/>
      <c r="D16" s="383"/>
      <c r="E16" s="196"/>
      <c r="F16" s="196" t="s">
        <v>615</v>
      </c>
      <c r="G16" s="34"/>
    </row>
    <row r="17" spans="1:7" ht="63" customHeight="1">
      <c r="A17" s="373"/>
      <c r="B17" s="381"/>
      <c r="C17" s="372"/>
      <c r="D17" s="384"/>
      <c r="E17" s="37"/>
      <c r="F17" s="37" t="s">
        <v>616</v>
      </c>
      <c r="G17" s="34"/>
    </row>
    <row r="18" spans="1:7" ht="117" customHeight="1">
      <c r="A18" s="373"/>
      <c r="B18" s="379">
        <v>2.02</v>
      </c>
      <c r="C18" s="370" t="s">
        <v>1088</v>
      </c>
      <c r="D18" s="382" t="s">
        <v>2266</v>
      </c>
      <c r="E18" s="195" t="s">
        <v>439</v>
      </c>
      <c r="F18" s="195" t="s">
        <v>525</v>
      </c>
      <c r="G18" s="34"/>
    </row>
    <row r="19" spans="1:7" ht="71.099999999999994" customHeight="1">
      <c r="A19" s="373"/>
      <c r="B19" s="380"/>
      <c r="C19" s="371"/>
      <c r="D19" s="383"/>
      <c r="E19" s="196" t="s">
        <v>529</v>
      </c>
      <c r="F19" s="196" t="s">
        <v>440</v>
      </c>
      <c r="G19" s="34"/>
    </row>
    <row r="20" spans="1:7" ht="90.75" customHeight="1">
      <c r="A20" s="373"/>
      <c r="B20" s="380"/>
      <c r="C20" s="371"/>
      <c r="D20" s="383"/>
      <c r="E20" s="196"/>
      <c r="F20" s="196" t="s">
        <v>619</v>
      </c>
      <c r="G20" s="34"/>
    </row>
    <row r="21" spans="1:7" ht="74.25" customHeight="1">
      <c r="A21" s="373"/>
      <c r="B21" s="381"/>
      <c r="C21" s="372"/>
      <c r="D21" s="384"/>
      <c r="E21" s="37"/>
      <c r="F21" s="37" t="s">
        <v>618</v>
      </c>
      <c r="G21" s="34"/>
    </row>
    <row r="22" spans="1:7" ht="90" customHeight="1">
      <c r="A22" s="373"/>
      <c r="B22" s="388">
        <v>2.0299999999999998</v>
      </c>
      <c r="C22" s="388" t="s">
        <v>822</v>
      </c>
      <c r="D22" s="367" t="s">
        <v>2267</v>
      </c>
      <c r="E22" s="370" t="s">
        <v>437</v>
      </c>
      <c r="F22" s="195" t="s">
        <v>460</v>
      </c>
      <c r="G22" s="34"/>
    </row>
    <row r="23" spans="1:7" ht="109.5" customHeight="1">
      <c r="A23" s="373"/>
      <c r="B23" s="389"/>
      <c r="C23" s="389"/>
      <c r="D23" s="368"/>
      <c r="E23" s="371"/>
      <c r="F23" s="196" t="s">
        <v>823</v>
      </c>
      <c r="G23" s="34"/>
    </row>
    <row r="24" spans="1:7" ht="74.25" customHeight="1">
      <c r="A24" s="373"/>
      <c r="B24" s="390"/>
      <c r="C24" s="390"/>
      <c r="D24" s="369"/>
      <c r="E24" s="372"/>
      <c r="F24" s="37" t="s">
        <v>436</v>
      </c>
      <c r="G24" s="34"/>
    </row>
    <row r="25" spans="1:7" ht="72" customHeight="1">
      <c r="A25" s="373"/>
      <c r="B25" s="2" t="s">
        <v>458</v>
      </c>
      <c r="C25" s="37" t="s">
        <v>459</v>
      </c>
      <c r="D25" s="39" t="s">
        <v>2268</v>
      </c>
      <c r="E25" s="37" t="s">
        <v>2263</v>
      </c>
      <c r="F25" s="37" t="s">
        <v>461</v>
      </c>
      <c r="G25" s="34"/>
    </row>
    <row r="26" spans="1:7" ht="98.1" customHeight="1">
      <c r="A26" s="373"/>
      <c r="B26" s="385">
        <v>3</v>
      </c>
      <c r="C26" s="379" t="s">
        <v>70</v>
      </c>
      <c r="D26" s="382" t="s">
        <v>2269</v>
      </c>
      <c r="E26" s="370" t="s">
        <v>0</v>
      </c>
      <c r="F26" s="195" t="s">
        <v>64</v>
      </c>
      <c r="G26" s="34"/>
    </row>
    <row r="27" spans="1:7" ht="90" customHeight="1">
      <c r="A27" s="373"/>
      <c r="B27" s="386"/>
      <c r="C27" s="380"/>
      <c r="D27" s="383"/>
      <c r="E27" s="371"/>
      <c r="F27" s="196" t="s">
        <v>59</v>
      </c>
      <c r="G27" s="34"/>
    </row>
    <row r="28" spans="1:7" ht="19.350000000000001" customHeight="1">
      <c r="A28" s="373"/>
      <c r="B28" s="386"/>
      <c r="C28" s="380"/>
      <c r="D28" s="383"/>
      <c r="E28" s="371"/>
      <c r="F28" s="196" t="s">
        <v>60</v>
      </c>
      <c r="G28" s="34"/>
    </row>
    <row r="29" spans="1:7" ht="74.650000000000006" customHeight="1">
      <c r="A29" s="373"/>
      <c r="B29" s="386"/>
      <c r="C29" s="380"/>
      <c r="D29" s="383"/>
      <c r="E29" s="371"/>
      <c r="F29" s="196" t="s">
        <v>61</v>
      </c>
      <c r="G29" s="34"/>
    </row>
    <row r="30" spans="1:7" ht="62.65" customHeight="1">
      <c r="A30" s="373"/>
      <c r="B30" s="386"/>
      <c r="C30" s="380"/>
      <c r="D30" s="383"/>
      <c r="E30" s="371"/>
      <c r="F30" s="196" t="s">
        <v>62</v>
      </c>
      <c r="G30" s="34"/>
    </row>
    <row r="31" spans="1:7" ht="81" customHeight="1">
      <c r="A31" s="373"/>
      <c r="B31" s="386"/>
      <c r="C31" s="380"/>
      <c r="D31" s="383"/>
      <c r="E31" s="371"/>
      <c r="F31" s="196" t="s">
        <v>63</v>
      </c>
      <c r="G31" s="34"/>
    </row>
    <row r="32" spans="1:7" ht="48.75" customHeight="1">
      <c r="A32" s="373"/>
      <c r="B32" s="386"/>
      <c r="C32" s="380"/>
      <c r="D32" s="383"/>
      <c r="E32" s="371"/>
      <c r="F32" s="196" t="s">
        <v>66</v>
      </c>
      <c r="G32" s="34"/>
    </row>
    <row r="33" spans="1:7" ht="98.65" customHeight="1">
      <c r="A33" s="373"/>
      <c r="B33" s="386"/>
      <c r="C33" s="380"/>
      <c r="D33" s="383"/>
      <c r="E33" s="371"/>
      <c r="F33" s="196" t="s">
        <v>65</v>
      </c>
      <c r="G33" s="34"/>
    </row>
    <row r="34" spans="1:7" ht="89.1" customHeight="1">
      <c r="A34" s="373"/>
      <c r="B34" s="386"/>
      <c r="C34" s="380"/>
      <c r="D34" s="383"/>
      <c r="E34" s="371"/>
      <c r="F34" s="196" t="s">
        <v>67</v>
      </c>
      <c r="G34" s="34"/>
    </row>
    <row r="35" spans="1:7" ht="29.1" customHeight="1">
      <c r="A35" s="373"/>
      <c r="B35" s="386"/>
      <c r="C35" s="380"/>
      <c r="D35" s="383"/>
      <c r="E35" s="371"/>
      <c r="F35" s="196" t="s">
        <v>68</v>
      </c>
      <c r="G35" s="34"/>
    </row>
    <row r="36" spans="1:7" ht="126.75">
      <c r="A36" s="373"/>
      <c r="B36" s="387"/>
      <c r="C36" s="381"/>
      <c r="D36" s="384"/>
      <c r="E36" s="372"/>
      <c r="F36" s="197" t="s">
        <v>69</v>
      </c>
      <c r="G36" s="34"/>
    </row>
    <row r="37" spans="1:7" ht="112.5">
      <c r="A37" s="373"/>
      <c r="B37" s="170">
        <v>3.01</v>
      </c>
      <c r="C37" s="171" t="s">
        <v>70</v>
      </c>
      <c r="D37" s="39" t="s">
        <v>2270</v>
      </c>
      <c r="E37" s="198" t="s">
        <v>1328</v>
      </c>
      <c r="F37" s="199" t="s">
        <v>1434</v>
      </c>
      <c r="G37" s="34"/>
    </row>
    <row r="38" spans="1:7" ht="101.25">
      <c r="A38" s="373"/>
      <c r="B38" s="170">
        <v>3.02</v>
      </c>
      <c r="C38" s="171" t="s">
        <v>1361</v>
      </c>
      <c r="D38" s="39" t="s">
        <v>2271</v>
      </c>
      <c r="E38" s="198" t="s">
        <v>1376</v>
      </c>
      <c r="F38" s="199" t="s">
        <v>1435</v>
      </c>
      <c r="G38" s="34"/>
    </row>
    <row r="39" spans="1:7" ht="101.25">
      <c r="A39" s="373"/>
      <c r="B39" s="180">
        <v>4</v>
      </c>
      <c r="C39" s="179" t="s">
        <v>1531</v>
      </c>
      <c r="D39" s="39" t="s">
        <v>2272</v>
      </c>
      <c r="E39" s="37" t="s">
        <v>2215</v>
      </c>
      <c r="F39" s="37" t="s">
        <v>1532</v>
      </c>
      <c r="G39" s="34"/>
    </row>
    <row r="40" spans="1:7" ht="56.25">
      <c r="A40" s="373"/>
      <c r="B40" s="170">
        <v>4.01</v>
      </c>
      <c r="C40" s="179" t="s">
        <v>1531</v>
      </c>
      <c r="D40" s="39" t="s">
        <v>2274</v>
      </c>
      <c r="E40" s="37" t="s">
        <v>2229</v>
      </c>
      <c r="F40" s="37" t="s">
        <v>2233</v>
      </c>
      <c r="G40" s="34"/>
    </row>
    <row r="41" spans="1:7" ht="56.25">
      <c r="A41" s="373"/>
      <c r="B41" s="170" t="s">
        <v>2261</v>
      </c>
      <c r="C41" s="179" t="s">
        <v>1531</v>
      </c>
      <c r="D41" s="39" t="s">
        <v>2273</v>
      </c>
      <c r="E41" s="37" t="s">
        <v>2264</v>
      </c>
      <c r="F41" s="37" t="s">
        <v>2262</v>
      </c>
      <c r="G41" s="34"/>
    </row>
    <row r="42" spans="1:7" ht="56.25">
      <c r="A42" s="373"/>
      <c r="B42" s="170" t="s">
        <v>2299</v>
      </c>
      <c r="C42" s="179" t="s">
        <v>1531</v>
      </c>
      <c r="D42" s="39" t="s">
        <v>2306</v>
      </c>
      <c r="E42" s="37" t="s">
        <v>2263</v>
      </c>
      <c r="F42" s="37" t="s">
        <v>2300</v>
      </c>
      <c r="G42" s="34"/>
    </row>
    <row r="43" spans="1:7" ht="123.75">
      <c r="A43" s="373"/>
      <c r="B43" s="191">
        <v>4.0999999999999996</v>
      </c>
      <c r="C43" s="179" t="s">
        <v>2305</v>
      </c>
      <c r="D43" s="192">
        <v>42867</v>
      </c>
      <c r="E43" s="200" t="s">
        <v>2308</v>
      </c>
      <c r="F43" s="37" t="s">
        <v>2307</v>
      </c>
      <c r="G43" s="34"/>
    </row>
    <row r="44" spans="1:7" ht="78.75">
      <c r="A44" s="373"/>
      <c r="B44" s="191">
        <v>4.2</v>
      </c>
      <c r="C44" s="179" t="s">
        <v>2305</v>
      </c>
      <c r="D44" s="192">
        <v>42704</v>
      </c>
      <c r="E44" s="200" t="s">
        <v>2510</v>
      </c>
      <c r="F44" s="37" t="s">
        <v>2485</v>
      </c>
      <c r="G44" s="34"/>
    </row>
    <row r="45" spans="1:7" ht="157.5">
      <c r="A45" s="373"/>
      <c r="B45" s="240">
        <v>5</v>
      </c>
      <c r="C45" s="179" t="s">
        <v>2305</v>
      </c>
      <c r="D45" s="192">
        <v>42867</v>
      </c>
      <c r="E45" s="200" t="s">
        <v>12917</v>
      </c>
      <c r="F45" s="37" t="s">
        <v>12639</v>
      </c>
      <c r="G45" s="34"/>
    </row>
    <row r="46" spans="1:7" ht="45">
      <c r="A46" s="373"/>
      <c r="B46" s="191">
        <v>5.01</v>
      </c>
      <c r="C46" s="179" t="s">
        <v>2305</v>
      </c>
      <c r="D46" s="192">
        <v>42907</v>
      </c>
      <c r="E46" s="200" t="s">
        <v>12935</v>
      </c>
      <c r="F46" s="37" t="s">
        <v>12639</v>
      </c>
      <c r="G46" s="34"/>
    </row>
    <row r="47" spans="1:7" ht="67.5">
      <c r="A47" s="373"/>
      <c r="B47" s="191">
        <v>5.0999999999999996</v>
      </c>
      <c r="C47" s="179" t="s">
        <v>2305</v>
      </c>
      <c r="D47" s="192">
        <v>43070</v>
      </c>
      <c r="E47" s="200" t="s">
        <v>13129</v>
      </c>
      <c r="F47" s="37" t="s">
        <v>13130</v>
      </c>
      <c r="G47" s="34"/>
    </row>
    <row r="48" spans="1:7" ht="56.25">
      <c r="A48" s="373"/>
      <c r="B48" s="191">
        <v>5.1100000000000003</v>
      </c>
      <c r="C48" s="179" t="s">
        <v>13371</v>
      </c>
      <c r="D48" s="192">
        <v>43217</v>
      </c>
      <c r="E48" s="200" t="s">
        <v>13499</v>
      </c>
      <c r="F48" s="37" t="s">
        <v>13405</v>
      </c>
      <c r="G48" s="34"/>
    </row>
    <row r="49" spans="1:7" ht="56.25">
      <c r="A49" s="373"/>
      <c r="B49" s="191">
        <v>5.12</v>
      </c>
      <c r="C49" s="179" t="s">
        <v>13371</v>
      </c>
      <c r="D49" s="192">
        <v>43581</v>
      </c>
      <c r="E49" s="200" t="s">
        <v>13499</v>
      </c>
      <c r="F49" s="37" t="s">
        <v>14064</v>
      </c>
      <c r="G49" s="34"/>
    </row>
    <row r="50" spans="1:7" ht="78.75">
      <c r="A50" s="373"/>
      <c r="B50" s="240">
        <v>6</v>
      </c>
      <c r="C50" s="179" t="s">
        <v>13371</v>
      </c>
      <c r="D50" s="192">
        <v>43964</v>
      </c>
      <c r="E50" s="200" t="s">
        <v>14291</v>
      </c>
      <c r="F50" s="37" t="s">
        <v>14074</v>
      </c>
      <c r="G50" s="34"/>
    </row>
    <row r="51" spans="1:7" ht="45">
      <c r="A51" s="373"/>
      <c r="B51" s="191">
        <v>6.01</v>
      </c>
      <c r="C51" s="179" t="s">
        <v>13371</v>
      </c>
      <c r="D51" s="192">
        <v>43970</v>
      </c>
      <c r="E51" s="200" t="s">
        <v>15309</v>
      </c>
      <c r="F51" s="200" t="s">
        <v>14074</v>
      </c>
      <c r="G51" s="34"/>
    </row>
    <row r="52" spans="1:7" ht="45">
      <c r="A52" s="373"/>
      <c r="B52" s="191">
        <v>6.1</v>
      </c>
      <c r="C52" s="179" t="s">
        <v>13371</v>
      </c>
      <c r="D52" s="192">
        <v>44314</v>
      </c>
      <c r="E52" s="200" t="s">
        <v>15314</v>
      </c>
      <c r="F52" s="200" t="s">
        <v>15319</v>
      </c>
      <c r="G52" s="34"/>
    </row>
    <row r="53" spans="1:7" ht="13.5" thickBot="1">
      <c r="A53" s="374"/>
      <c r="B53" s="375" t="str">
        <f ca="1">OFFSET(L!$C$1,MATCH("General"&amp;"Cpy",L!$A:$A,0)-1,SL,,)</f>
        <v>© 2021 Responsible Minerals Initiative. All rights reserved.</v>
      </c>
      <c r="C53" s="375"/>
      <c r="D53" s="375"/>
      <c r="E53" s="375"/>
      <c r="F53" s="375"/>
      <c r="G53" s="35"/>
    </row>
    <row r="54" spans="1:7" ht="13.5"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61"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5.9"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7.9"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650000000000006"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650000000000006"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65" customHeight="1">
      <c r="A52" s="121" t="str">
        <f ca="1">OFFSET(L!$C$1,MATCH("Instructions"&amp;ADDRESS(ROW(),COLUMN(),4),L!$A:$A,0)-1,SL,,)</f>
        <v>2. Metal (*)   -   Use the pull down menu to select the metal for which you are entering smelter information.  This field is mandatory.</v>
      </c>
      <c r="B52" s="114"/>
    </row>
    <row r="53" spans="1:2" ht="79.150000000000006"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9.1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6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650000000000006"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2.15"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6"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91"/>
      <c r="B1" s="392"/>
      <c r="C1" s="392"/>
      <c r="D1" s="393"/>
    </row>
    <row r="2" spans="1:5" ht="71.25" customHeight="1">
      <c r="A2" s="87"/>
      <c r="B2" s="166" t="str">
        <f ca="1">OFFSET(L!$C$1,MATCH("Definitions"&amp;ADDRESS(ROW(),COLUMN(),4),L!$A:$A,0)-1,SL,,)</f>
        <v>ITEM</v>
      </c>
      <c r="C2" s="166" t="str">
        <f ca="1">OFFSET(L!$C$1,MATCH("Definitions"&amp;ADDRESS(ROW(),COLUMN(),4),L!$A:$A,0)-1,SL,,)</f>
        <v>DEFINITION</v>
      </c>
      <c r="D2" s="395"/>
      <c r="E2" s="127"/>
    </row>
    <row r="3" spans="1:5" ht="64.150000000000006" customHeight="1">
      <c r="A3" s="87"/>
      <c r="B3" s="74" t="str">
        <f ca="1">OFFSET(L!$C$1,MATCH("Definitions"&amp;ADDRESS(ROW(),COLUMN(),4),L!$A:$A,0)-1,SL,,)</f>
        <v>3TG</v>
      </c>
      <c r="C3" s="74" t="str">
        <f ca="1">OFFSET(L!$C$1,MATCH("Definitions"&amp;ADDRESS(ROW(),COLUMN(),4),L!$A:$A,0)-1,SL,,)</f>
        <v>Tantalum, tin, tungsten, gold</v>
      </c>
      <c r="D3" s="395"/>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5"/>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5"/>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5"/>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5"/>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5"/>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95"/>
      <c r="E9" s="128" t="s">
        <v>1313</v>
      </c>
    </row>
    <row r="10" spans="1:5" ht="45">
      <c r="A10" s="87"/>
      <c r="B10" s="74" t="str">
        <f ca="1">OFFSET(L!$C$1,MATCH("Definitions"&amp;ADDRESS(ROW(),COLUMN(),4),L!$A:$A,0)-1,SL,,)</f>
        <v>DRC</v>
      </c>
      <c r="C10" s="74" t="str">
        <f ca="1">OFFSET(L!$C$1,MATCH("Definitions"&amp;ADDRESS(ROW(),COLUMN(),4),L!$A:$A,0)-1,SL,,)</f>
        <v>Democratic Republic of Congo</v>
      </c>
      <c r="D10" s="395"/>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5"/>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5"/>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5"/>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5"/>
      <c r="E14" s="128" t="s">
        <v>1312</v>
      </c>
    </row>
    <row r="15" spans="1:5" ht="143.65"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5"/>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5"/>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5"/>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5"/>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95"/>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95"/>
      <c r="E20" s="128"/>
    </row>
    <row r="21" spans="1:5" ht="15">
      <c r="A21" s="87"/>
      <c r="B21" s="74" t="str">
        <f ca="1">OFFSET(L!$C$1,MATCH("Definitions"&amp;ADDRESS(ROW(),COLUMN(),4),L!$A:$A,0)-1,SL,,)</f>
        <v>RBA</v>
      </c>
      <c r="C21" s="74" t="str">
        <f ca="1">OFFSET(L!$C$1,MATCH("Definitions"&amp;ADDRESS(ROW(),COLUMN(),4),L!$A:$A,0)-1,SL,,)</f>
        <v>Responsible Business Alliance (www.responsiblebusiness.org)</v>
      </c>
      <c r="D21" s="395"/>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5"/>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5"/>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5"/>
      <c r="E24" s="128"/>
    </row>
    <row r="25" spans="1:5" ht="154.15"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5"/>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95"/>
      <c r="E26" s="128" t="s">
        <v>1314</v>
      </c>
    </row>
    <row r="27" spans="1:5" ht="76.150000000000006"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5"/>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5"/>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5"/>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5"/>
      <c r="E30" s="128" t="s">
        <v>1315</v>
      </c>
    </row>
    <row r="31" spans="1:5" ht="136.9"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5"/>
      <c r="E31" s="128"/>
    </row>
    <row r="32" spans="1:5" ht="15">
      <c r="A32" s="87"/>
      <c r="B32" s="394" t="str">
        <f ca="1">OFFSET(L!$C$1,MATCH("General"&amp;"Cpy",L!$A:$A,0)-1,SL,,)</f>
        <v>© 2021 Responsible Minerals Initiative. All rights reserved.</v>
      </c>
      <c r="C32" s="394"/>
      <c r="D32" s="395"/>
      <c r="E32" s="128"/>
    </row>
    <row r="33" spans="1:4" ht="13.5" thickBot="1">
      <c r="A33" s="88"/>
      <c r="B33" s="183"/>
      <c r="C33" s="183"/>
      <c r="D33" s="396"/>
    </row>
    <row r="34" spans="1:4" ht="13.5"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PageLayoutView="70" workbookViewId="0">
      <selection activeCell="Y23" sqref="Y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24"/>
      <c r="B1" s="425"/>
      <c r="C1" s="425"/>
      <c r="D1" s="425"/>
      <c r="E1" s="425"/>
      <c r="F1" s="425"/>
      <c r="G1" s="425"/>
      <c r="H1" s="425"/>
      <c r="I1" s="425"/>
      <c r="J1" s="425"/>
      <c r="K1" s="426"/>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27" t="str">
        <f ca="1">OFFSET(L!$C$1,MATCH("Declaration"&amp;ADDRESS(ROW(),COLUMN(),4),L!$A:$A,0)-1,SL,,)</f>
        <v>Conflict Minerals Reporting Template (CMRT)</v>
      </c>
      <c r="E2" s="428"/>
      <c r="F2" s="428"/>
      <c r="G2" s="428"/>
      <c r="H2" s="428"/>
      <c r="I2" s="428"/>
      <c r="J2" s="429"/>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37"/>
      <c r="G3" s="437"/>
      <c r="H3" s="437"/>
      <c r="I3" s="182"/>
      <c r="J3" s="167" t="s">
        <v>15318</v>
      </c>
      <c r="K3" s="47"/>
      <c r="L3" s="139"/>
      <c r="M3" s="130"/>
      <c r="N3" s="130"/>
      <c r="O3" s="131"/>
      <c r="P3" s="144">
        <f>MATCH($D$3,LN,0)</f>
        <v>1</v>
      </c>
    </row>
    <row r="4" spans="1:34" ht="15.75">
      <c r="A4" s="45"/>
      <c r="B4" s="433" t="str">
        <f ca="1">OFFSET(L!$C$1,MATCH("Declaration"&amp;ADDRESS(ROW(),COLUMN(),4),L!$A:$A,0)-1,SL,,)</f>
        <v>The purpose of this document is to collect sourcing information on tin, tantalum, tungsten and gold used in products</v>
      </c>
      <c r="C4" s="433"/>
      <c r="D4" s="433"/>
      <c r="E4" s="433"/>
      <c r="F4" s="433"/>
      <c r="G4" s="433"/>
      <c r="H4" s="433"/>
      <c r="I4" s="438" t="str">
        <f ca="1">OFFSET(L!$C$1,MATCH("Declaration"&amp;ADDRESS(ROW(),COLUMN(),4),L!$A:$A,0)-1,SL,,)</f>
        <v>Link to Terms &amp; Conditions</v>
      </c>
      <c r="J4" s="438"/>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33" t="str">
        <f ca="1">OFFSET(L!$C$1,MATCH("Declaration"&amp;ADDRESS(ROW(),COLUMN(),4),L!$A:$A,0)-1,SL,,)</f>
        <v>Mandatory fields are noted with an asterisk (*).  Consult the instructions tab for guidance on how to answer each question.</v>
      </c>
      <c r="C6" s="433"/>
      <c r="D6" s="433"/>
      <c r="E6" s="433"/>
      <c r="F6" s="433"/>
      <c r="G6" s="433"/>
      <c r="H6" s="433"/>
      <c r="I6" s="433"/>
      <c r="J6" s="433"/>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7.15" customHeight="1">
      <c r="A7" s="45"/>
      <c r="B7" s="442" t="str">
        <f ca="1">OFFSET(L!$C$1,MATCH("Declaration"&amp;ADDRESS(ROW(),COLUMN(),4),L!$A:$A,0)-1,SL,,)</f>
        <v>Company Information</v>
      </c>
      <c r="C7" s="442"/>
      <c r="D7" s="442"/>
      <c r="E7" s="442"/>
      <c r="F7" s="442"/>
      <c r="G7" s="442"/>
      <c r="H7" s="442"/>
      <c r="I7" s="442"/>
      <c r="J7" s="442"/>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30" t="s">
        <v>15606</v>
      </c>
      <c r="E8" s="431"/>
      <c r="F8" s="431"/>
      <c r="G8" s="431"/>
      <c r="H8" s="431"/>
      <c r="I8" s="431"/>
      <c r="J8" s="432"/>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39" t="s">
        <v>494</v>
      </c>
      <c r="E9" s="440"/>
      <c r="F9" s="440"/>
      <c r="G9" s="441"/>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65" customHeight="1">
      <c r="A10" s="49"/>
      <c r="B10" s="443" t="str">
        <f ca="1">OFFSET(L!$C$1,MATCH("Declaration"&amp;ADDRESS(ROW(),COLUMN(),4)&amp;LEFT($D$9,1),L!$A:$A,0)-1,SL,,)</f>
        <v>Description of Scope:</v>
      </c>
      <c r="C10" s="151"/>
      <c r="D10" s="434" t="s">
        <v>15607</v>
      </c>
      <c r="E10" s="435"/>
      <c r="F10" s="435"/>
      <c r="G10" s="435"/>
      <c r="H10" s="435"/>
      <c r="I10" s="435"/>
      <c r="J10" s="436"/>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44"/>
      <c r="C11" s="151"/>
      <c r="D11" s="448" t="str">
        <f ca="1">IF(D9=Q9,OFFSET(L!$C$1,MATCH("Declaration"&amp;ADDRESS(ROW(),COLUMN(),4),L!$A:$A,0)-1,SL,,),"")</f>
        <v/>
      </c>
      <c r="E11" s="449"/>
      <c r="F11" s="449"/>
      <c r="G11" s="449"/>
      <c r="H11" s="449"/>
      <c r="I11" s="449"/>
      <c r="J11" s="450"/>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6" t="s">
        <v>15608</v>
      </c>
      <c r="E12" s="407"/>
      <c r="F12" s="407"/>
      <c r="G12" s="407"/>
      <c r="H12" s="407"/>
      <c r="I12" s="407"/>
      <c r="J12" s="408"/>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6"/>
      <c r="E13" s="407"/>
      <c r="F13" s="407"/>
      <c r="G13" s="407"/>
      <c r="H13" s="407"/>
      <c r="I13" s="407"/>
      <c r="J13" s="408"/>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6" t="s">
        <v>15609</v>
      </c>
      <c r="E14" s="407"/>
      <c r="F14" s="407"/>
      <c r="G14" s="407"/>
      <c r="H14" s="407"/>
      <c r="I14" s="407"/>
      <c r="J14" s="408"/>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6" t="s">
        <v>15614</v>
      </c>
      <c r="E15" s="407"/>
      <c r="F15" s="407"/>
      <c r="G15" s="407"/>
      <c r="H15" s="407"/>
      <c r="I15" s="407"/>
      <c r="J15" s="408"/>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45" t="s">
        <v>15611</v>
      </c>
      <c r="E16" s="446"/>
      <c r="F16" s="446"/>
      <c r="G16" s="446"/>
      <c r="H16" s="446"/>
      <c r="I16" s="446"/>
      <c r="J16" s="447"/>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6" t="s">
        <v>15612</v>
      </c>
      <c r="E17" s="407"/>
      <c r="F17" s="407"/>
      <c r="G17" s="407"/>
      <c r="H17" s="407"/>
      <c r="I17" s="407"/>
      <c r="J17" s="408"/>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6" t="s">
        <v>15610</v>
      </c>
      <c r="E18" s="407"/>
      <c r="F18" s="407"/>
      <c r="G18" s="407"/>
      <c r="H18" s="407"/>
      <c r="I18" s="407"/>
      <c r="J18" s="408"/>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6" t="s">
        <v>15613</v>
      </c>
      <c r="E19" s="407"/>
      <c r="F19" s="407"/>
      <c r="G19" s="407"/>
      <c r="H19" s="407"/>
      <c r="I19" s="407"/>
      <c r="J19" s="408"/>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45" t="s">
        <v>15615</v>
      </c>
      <c r="E20" s="446"/>
      <c r="F20" s="446"/>
      <c r="G20" s="446"/>
      <c r="H20" s="446"/>
      <c r="I20" s="446"/>
      <c r="J20" s="447"/>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451" t="s">
        <v>15616</v>
      </c>
      <c r="E21" s="452"/>
      <c r="F21" s="452"/>
      <c r="G21" s="452"/>
      <c r="H21" s="452"/>
      <c r="I21" s="452"/>
      <c r="J21" s="453"/>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54">
        <v>44652</v>
      </c>
      <c r="E22" s="455"/>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09"/>
      <c r="E23" s="409"/>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56" t="str">
        <f ca="1">OFFSET(L!$C$1,MATCH("Declaration"&amp;ADDRESS(ROW(),COLUMN(),4),L!$A:$A,0)-1,SL,,)</f>
        <v>Answer the following questions 1 - 8 based on the declaration scope indicated above</v>
      </c>
      <c r="C24" s="456"/>
      <c r="D24" s="456"/>
      <c r="E24" s="456"/>
      <c r="F24" s="456"/>
      <c r="G24" s="456"/>
      <c r="H24" s="456"/>
      <c r="I24" s="456"/>
      <c r="J24" s="456"/>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403" t="str">
        <f ca="1">OFFSET(L!$C$1,MATCH("Declaration"&amp;ADDRESS(ROW(),COLUMN(),4),L!$A:$A,0)-1,SL,,)</f>
        <v>Answer</v>
      </c>
      <c r="E25" s="403"/>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97" t="s">
        <v>488</v>
      </c>
      <c r="E26" s="398"/>
      <c r="F26" s="15"/>
      <c r="G26" s="399" t="s">
        <v>15617</v>
      </c>
      <c r="H26" s="400"/>
      <c r="I26" s="400"/>
      <c r="J26" s="401"/>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97" t="s">
        <v>488</v>
      </c>
      <c r="E27" s="398"/>
      <c r="F27" s="15"/>
      <c r="G27" s="399" t="s">
        <v>15618</v>
      </c>
      <c r="H27" s="400"/>
      <c r="I27" s="400"/>
      <c r="J27" s="401"/>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97" t="s">
        <v>488</v>
      </c>
      <c r="E28" s="398"/>
      <c r="F28" s="15"/>
      <c r="G28" s="399" t="s">
        <v>15619</v>
      </c>
      <c r="H28" s="400"/>
      <c r="I28" s="400"/>
      <c r="J28" s="401"/>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97" t="s">
        <v>488</v>
      </c>
      <c r="E29" s="398"/>
      <c r="F29" s="15"/>
      <c r="G29" s="399" t="s">
        <v>15620</v>
      </c>
      <c r="H29" s="400"/>
      <c r="I29" s="400"/>
      <c r="J29" s="401"/>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405" t="str">
        <f ca="1">D25</f>
        <v>Answer</v>
      </c>
      <c r="E31" s="405"/>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420" t="s">
        <v>488</v>
      </c>
      <c r="E32" s="421"/>
      <c r="F32" s="58"/>
      <c r="G32" s="399"/>
      <c r="H32" s="400"/>
      <c r="I32" s="400"/>
      <c r="J32" s="401"/>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97" t="s">
        <v>488</v>
      </c>
      <c r="E33" s="398"/>
      <c r="F33" s="58"/>
      <c r="G33" s="399"/>
      <c r="H33" s="400"/>
      <c r="I33" s="400"/>
      <c r="J33" s="401"/>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97" t="s">
        <v>488</v>
      </c>
      <c r="E34" s="398"/>
      <c r="F34" s="58"/>
      <c r="G34" s="399"/>
      <c r="H34" s="400"/>
      <c r="I34" s="400"/>
      <c r="J34" s="401"/>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97" t="s">
        <v>488</v>
      </c>
      <c r="E35" s="398"/>
      <c r="F35" s="58"/>
      <c r="G35" s="399"/>
      <c r="H35" s="400"/>
      <c r="I35" s="400"/>
      <c r="J35" s="401"/>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405" t="str">
        <f ca="1">D25</f>
        <v>Answer</v>
      </c>
      <c r="E37" s="405"/>
      <c r="F37" s="21"/>
      <c r="G37" s="55" t="str">
        <f ca="1">G25</f>
        <v>Comments</v>
      </c>
      <c r="H37" s="457"/>
      <c r="I37" s="457"/>
      <c r="J37" s="457"/>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97" t="s">
        <v>489</v>
      </c>
      <c r="E38" s="398"/>
      <c r="F38" s="58"/>
      <c r="G38" s="399"/>
      <c r="H38" s="400"/>
      <c r="I38" s="400"/>
      <c r="J38" s="401"/>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97" t="s">
        <v>489</v>
      </c>
      <c r="E39" s="398"/>
      <c r="F39" s="58"/>
      <c r="G39" s="399"/>
      <c r="H39" s="400"/>
      <c r="I39" s="400"/>
      <c r="J39" s="401"/>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97" t="s">
        <v>489</v>
      </c>
      <c r="E40" s="398"/>
      <c r="F40" s="58"/>
      <c r="G40" s="399"/>
      <c r="H40" s="400"/>
      <c r="I40" s="400"/>
      <c r="J40" s="401"/>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97" t="s">
        <v>489</v>
      </c>
      <c r="E41" s="398"/>
      <c r="F41" s="58"/>
      <c r="G41" s="399"/>
      <c r="H41" s="400"/>
      <c r="I41" s="400"/>
      <c r="J41" s="401"/>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405" t="str">
        <f ca="1">D25</f>
        <v>Answer</v>
      </c>
      <c r="E43" s="405"/>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97" t="s">
        <v>489</v>
      </c>
      <c r="E44" s="398"/>
      <c r="F44" s="58"/>
      <c r="G44" s="399"/>
      <c r="H44" s="400"/>
      <c r="I44" s="400"/>
      <c r="J44" s="401"/>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97" t="s">
        <v>489</v>
      </c>
      <c r="E45" s="398"/>
      <c r="F45" s="58"/>
      <c r="G45" s="399"/>
      <c r="H45" s="400"/>
      <c r="I45" s="400"/>
      <c r="J45" s="401"/>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97" t="s">
        <v>489</v>
      </c>
      <c r="E46" s="398"/>
      <c r="F46" s="58"/>
      <c r="G46" s="399"/>
      <c r="H46" s="400"/>
      <c r="I46" s="400"/>
      <c r="J46" s="401"/>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97" t="s">
        <v>489</v>
      </c>
      <c r="E47" s="398"/>
      <c r="F47" s="58"/>
      <c r="G47" s="399"/>
      <c r="H47" s="400"/>
      <c r="I47" s="400"/>
      <c r="J47" s="401"/>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405" t="str">
        <f ca="1">D25</f>
        <v>Answer</v>
      </c>
      <c r="E49" s="405"/>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97" t="s">
        <v>489</v>
      </c>
      <c r="E50" s="398"/>
      <c r="F50" s="58"/>
      <c r="G50" s="399"/>
      <c r="H50" s="400"/>
      <c r="I50" s="400"/>
      <c r="J50" s="401"/>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97" t="s">
        <v>489</v>
      </c>
      <c r="E51" s="398"/>
      <c r="F51" s="58"/>
      <c r="G51" s="399"/>
      <c r="H51" s="400"/>
      <c r="I51" s="400"/>
      <c r="J51" s="401"/>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97" t="s">
        <v>489</v>
      </c>
      <c r="E52" s="398"/>
      <c r="F52" s="58"/>
      <c r="G52" s="399"/>
      <c r="H52" s="400"/>
      <c r="I52" s="400"/>
      <c r="J52" s="401"/>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97" t="s">
        <v>489</v>
      </c>
      <c r="E53" s="398"/>
      <c r="F53" s="58"/>
      <c r="G53" s="399"/>
      <c r="H53" s="400"/>
      <c r="I53" s="400"/>
      <c r="J53" s="401"/>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39" t="str">
        <f ca="1">OFFSET(L!$C$1,MATCH("Declaration"&amp;ADDRESS(ROW(),COLUMN(),4),L!$A:$A,0)-1,SL,,)&amp;Q$37</f>
        <v>6) What percentage of relevant suppliers have provided a response to your supply chain survey?  (*)</v>
      </c>
      <c r="C55" s="13"/>
      <c r="D55" s="405" t="str">
        <f ca="1">D25</f>
        <v>Answer</v>
      </c>
      <c r="E55" s="405"/>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422" t="s">
        <v>2511</v>
      </c>
      <c r="E56" s="423"/>
      <c r="F56" s="58"/>
      <c r="G56" s="399"/>
      <c r="H56" s="400"/>
      <c r="I56" s="400"/>
      <c r="J56" s="401"/>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422" t="s">
        <v>2511</v>
      </c>
      <c r="E57" s="423"/>
      <c r="F57" s="58"/>
      <c r="G57" s="399"/>
      <c r="H57" s="400"/>
      <c r="I57" s="400"/>
      <c r="J57" s="401"/>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422" t="s">
        <v>2511</v>
      </c>
      <c r="E58" s="423"/>
      <c r="F58" s="58"/>
      <c r="G58" s="399"/>
      <c r="H58" s="400"/>
      <c r="I58" s="400"/>
      <c r="J58" s="401"/>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422" t="s">
        <v>2511</v>
      </c>
      <c r="E59" s="423"/>
      <c r="F59" s="58"/>
      <c r="G59" s="399"/>
      <c r="H59" s="400"/>
      <c r="I59" s="400"/>
      <c r="J59" s="401"/>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39" t="str">
        <f ca="1">OFFSET(L!$C$1,MATCH("Declaration"&amp;ADDRESS(ROW(),COLUMN(),4),L!$A:$A,0)-1,SL,,)&amp;Q$37</f>
        <v>7) Have you identified all of the smelters supplying the 3TG to your supply chain?  (*)</v>
      </c>
      <c r="C61" s="13"/>
      <c r="D61" s="405" t="str">
        <f ca="1">D25</f>
        <v>Answer</v>
      </c>
      <c r="E61" s="405"/>
      <c r="F61" s="21"/>
      <c r="G61" s="55" t="str">
        <f ca="1">G25</f>
        <v>Comments</v>
      </c>
      <c r="H61" s="402"/>
      <c r="I61" s="402"/>
      <c r="J61" s="402"/>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420" t="s">
        <v>489</v>
      </c>
      <c r="E62" s="421"/>
      <c r="F62" s="58"/>
      <c r="G62" s="399" t="s">
        <v>15621</v>
      </c>
      <c r="H62" s="400"/>
      <c r="I62" s="400"/>
      <c r="J62" s="401"/>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97" t="s">
        <v>489</v>
      </c>
      <c r="E63" s="398"/>
      <c r="F63" s="58"/>
      <c r="G63" s="399" t="s">
        <v>15621</v>
      </c>
      <c r="H63" s="400"/>
      <c r="I63" s="400"/>
      <c r="J63" s="401"/>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97" t="s">
        <v>489</v>
      </c>
      <c r="E64" s="398"/>
      <c r="F64" s="58"/>
      <c r="G64" s="399" t="s">
        <v>15621</v>
      </c>
      <c r="H64" s="400"/>
      <c r="I64" s="400"/>
      <c r="J64" s="401"/>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97" t="s">
        <v>489</v>
      </c>
      <c r="E65" s="398"/>
      <c r="F65" s="58"/>
      <c r="G65" s="399" t="s">
        <v>15621</v>
      </c>
      <c r="H65" s="400"/>
      <c r="I65" s="400"/>
      <c r="J65" s="401"/>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405" t="str">
        <f ca="1">D25</f>
        <v>Answer</v>
      </c>
      <c r="E67" s="405"/>
      <c r="F67" s="21"/>
      <c r="G67" s="55" t="str">
        <f ca="1">G25</f>
        <v>Comments</v>
      </c>
      <c r="H67" s="402" t="str">
        <f>IF(Q75="(*)","Click here to enter smelter names","")</f>
        <v/>
      </c>
      <c r="I67" s="402"/>
      <c r="J67" s="402"/>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97" t="s">
        <v>488</v>
      </c>
      <c r="E68" s="398"/>
      <c r="F68" s="59"/>
      <c r="G68" s="399"/>
      <c r="H68" s="400"/>
      <c r="I68" s="400"/>
      <c r="J68" s="401"/>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97" t="s">
        <v>488</v>
      </c>
      <c r="E69" s="398"/>
      <c r="F69" s="59"/>
      <c r="G69" s="399"/>
      <c r="H69" s="400"/>
      <c r="I69" s="400"/>
      <c r="J69" s="401"/>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97" t="s">
        <v>488</v>
      </c>
      <c r="E70" s="398"/>
      <c r="F70" s="59"/>
      <c r="G70" s="399"/>
      <c r="H70" s="400"/>
      <c r="I70" s="400"/>
      <c r="J70" s="401"/>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97" t="s">
        <v>488</v>
      </c>
      <c r="E71" s="398"/>
      <c r="F71" s="61"/>
      <c r="G71" s="399"/>
      <c r="H71" s="400"/>
      <c r="I71" s="400"/>
      <c r="J71" s="401"/>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19" t="str">
        <f ca="1">OFFSET(L!$C$1,MATCH("Declaration"&amp;ADDRESS(ROW(),COLUMN(),4),L!$A:$A,0)-1,SL,,)</f>
        <v>Answer the Following Questions at a Company Level</v>
      </c>
      <c r="C73" s="419"/>
      <c r="D73" s="419"/>
      <c r="E73" s="419"/>
      <c r="F73" s="419"/>
      <c r="G73" s="419"/>
      <c r="H73" s="419"/>
      <c r="I73" s="419"/>
      <c r="J73" s="419"/>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03" t="str">
        <f ca="1">D25</f>
        <v>Answer</v>
      </c>
      <c r="E74" s="403"/>
      <c r="F74" s="64"/>
      <c r="G74" s="403" t="str">
        <f ca="1">G25</f>
        <v>Comments</v>
      </c>
      <c r="H74" s="403" t="e">
        <f>HLOOKUP(SL,LT,$O74,0)</f>
        <v>#NAME?</v>
      </c>
      <c r="I74" s="403"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97" t="s">
        <v>488</v>
      </c>
      <c r="E75" s="398"/>
      <c r="F75" s="68"/>
      <c r="G75" s="399" t="s">
        <v>15622</v>
      </c>
      <c r="H75" s="400"/>
      <c r="I75" s="400"/>
      <c r="J75" s="401"/>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04"/>
      <c r="H76" s="404"/>
      <c r="I76" s="404"/>
      <c r="J76" s="404"/>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97" t="s">
        <v>488</v>
      </c>
      <c r="E77" s="398"/>
      <c r="F77" s="68"/>
      <c r="G77" s="416" t="s">
        <v>15623</v>
      </c>
      <c r="H77" s="417"/>
      <c r="I77" s="417"/>
      <c r="J77" s="418"/>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97" t="s">
        <v>488</v>
      </c>
      <c r="E79" s="398"/>
      <c r="F79" s="68"/>
      <c r="G79" s="399" t="s">
        <v>15621</v>
      </c>
      <c r="H79" s="400"/>
      <c r="I79" s="400"/>
      <c r="J79" s="401"/>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97" t="s">
        <v>488</v>
      </c>
      <c r="E81" s="398"/>
      <c r="F81" s="68"/>
      <c r="G81" s="399" t="s">
        <v>15622</v>
      </c>
      <c r="H81" s="400"/>
      <c r="I81" s="400"/>
      <c r="J81" s="401"/>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97" t="s">
        <v>15250</v>
      </c>
      <c r="E83" s="398"/>
      <c r="F83" s="68"/>
      <c r="G83" s="399"/>
      <c r="H83" s="400"/>
      <c r="I83" s="400"/>
      <c r="J83" s="401"/>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13" t="s">
        <v>488</v>
      </c>
      <c r="E85" s="414"/>
      <c r="F85" s="68"/>
      <c r="G85" s="399"/>
      <c r="H85" s="400"/>
      <c r="I85" s="400"/>
      <c r="J85" s="401"/>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04"/>
      <c r="H86" s="404"/>
      <c r="I86" s="404"/>
      <c r="J86" s="404"/>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97" t="s">
        <v>488</v>
      </c>
      <c r="E87" s="398"/>
      <c r="F87" s="68"/>
      <c r="G87" s="399"/>
      <c r="H87" s="400"/>
      <c r="I87" s="400"/>
      <c r="J87" s="401"/>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15"/>
      <c r="H88" s="415"/>
      <c r="I88" s="415"/>
      <c r="J88" s="415"/>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97" t="s">
        <v>489</v>
      </c>
      <c r="E89" s="398"/>
      <c r="F89" s="68"/>
      <c r="G89" s="399" t="s">
        <v>15624</v>
      </c>
      <c r="H89" s="400"/>
      <c r="I89" s="400"/>
      <c r="J89" s="401"/>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12" t="str">
        <f>IF(OR($D$8="",$I$3=""),"","Click here to check required fields completion")</f>
        <v/>
      </c>
      <c r="C90" s="412"/>
      <c r="D90" s="412"/>
      <c r="E90" s="412"/>
      <c r="F90" s="412"/>
      <c r="G90" s="412"/>
      <c r="H90" s="412"/>
      <c r="I90" s="412"/>
      <c r="J90" s="412"/>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10" t="str">
        <f ca="1">OFFSET(L!$C$1,MATCH("General"&amp;"Cpy",L!$A:$A,0)-1,SL,,)</f>
        <v>© 2021 Responsible Minerals Initiative. All rights reserved.</v>
      </c>
      <c r="B91" s="411"/>
      <c r="C91" s="411"/>
      <c r="D91" s="411"/>
      <c r="E91" s="411"/>
      <c r="F91" s="411"/>
      <c r="G91" s="411"/>
      <c r="H91" s="411"/>
      <c r="I91" s="411"/>
      <c r="J91" s="411"/>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G51:J51"/>
    <mergeCell ref="G40:J40"/>
    <mergeCell ref="G29:J29"/>
    <mergeCell ref="G27:J27"/>
    <mergeCell ref="D28:E28"/>
    <mergeCell ref="D25:E25"/>
    <mergeCell ref="G41:J41"/>
    <mergeCell ref="D40:E40"/>
    <mergeCell ref="D52:E52"/>
    <mergeCell ref="D35:E35"/>
    <mergeCell ref="G57:J57"/>
    <mergeCell ref="D27:E27"/>
    <mergeCell ref="D34:E34"/>
    <mergeCell ref="D33:E33"/>
    <mergeCell ref="G34:J34"/>
    <mergeCell ref="G52:J52"/>
    <mergeCell ref="H37:J37"/>
    <mergeCell ref="G38:J38"/>
    <mergeCell ref="D39:E39"/>
    <mergeCell ref="D49:E49"/>
    <mergeCell ref="D55:E55"/>
    <mergeCell ref="G35:J35"/>
    <mergeCell ref="D53:E53"/>
    <mergeCell ref="D41:E41"/>
    <mergeCell ref="G50:J50"/>
    <mergeCell ref="D51:E51"/>
    <mergeCell ref="D20:J20"/>
    <mergeCell ref="D38:E38"/>
    <mergeCell ref="G39:J39"/>
    <mergeCell ref="G32:J32"/>
    <mergeCell ref="D57:E57"/>
    <mergeCell ref="D21:J21"/>
    <mergeCell ref="D26:E26"/>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G26:J26"/>
    <mergeCell ref="G28:J28"/>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17:J17"/>
    <mergeCell ref="D11:J11"/>
    <mergeCell ref="D12:J12"/>
    <mergeCell ref="D65:E65"/>
    <mergeCell ref="D64:E64"/>
    <mergeCell ref="D63:E63"/>
    <mergeCell ref="G63:J63"/>
    <mergeCell ref="G64:J64"/>
    <mergeCell ref="D62:E62"/>
    <mergeCell ref="G65:J65"/>
    <mergeCell ref="G53:J53"/>
    <mergeCell ref="D59:E59"/>
    <mergeCell ref="D56:E56"/>
    <mergeCell ref="G56:J56"/>
    <mergeCell ref="D61:E61"/>
    <mergeCell ref="H61:J61"/>
    <mergeCell ref="G58:J58"/>
    <mergeCell ref="G59:J59"/>
    <mergeCell ref="D58:E58"/>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62:J62"/>
    <mergeCell ref="G75:J75"/>
    <mergeCell ref="G77:J77"/>
    <mergeCell ref="G79:J79"/>
    <mergeCell ref="G81:J81"/>
    <mergeCell ref="G89:J89"/>
    <mergeCell ref="D71:E71"/>
    <mergeCell ref="D70:E70"/>
    <mergeCell ref="D75:E75"/>
    <mergeCell ref="B73:J73"/>
    <mergeCell ref="D83:E83"/>
    <mergeCell ref="D79:E79"/>
    <mergeCell ref="G83:J83"/>
    <mergeCell ref="H67:J67"/>
    <mergeCell ref="D77:E77"/>
    <mergeCell ref="G74:I74"/>
    <mergeCell ref="D74:E74"/>
    <mergeCell ref="G76:J76"/>
    <mergeCell ref="D67:E67"/>
    <mergeCell ref="G70:J70"/>
    <mergeCell ref="G68:J68"/>
    <mergeCell ref="G71:J71"/>
    <mergeCell ref="G69:J69"/>
    <mergeCell ref="D69:E69"/>
    <mergeCell ref="D68:E68"/>
  </mergeCells>
  <conditionalFormatting sqref="D75:E75 D77:E77 D79:E79 D81:E81 D85:E85 D87:E87 D89:E89 D83">
    <cfRule type="expression" dxfId="114" priority="63" stopIfTrue="1">
      <formula>AND(OR($D$26="No",AND($D$26="Yes",$D$32="No")),OR($D$27="No",AND($D$27="Yes",$D$33="No")),OR($D$28="No",AND($D$28="Yes",$D$34="No")),OR($D$29="No",AND($D$29="Yes",$D$35="No")))</formula>
    </cfRule>
    <cfRule type="expression" dxfId="113" priority="64" stopIfTrue="1">
      <formula>IF(D75="",TRUE)</formula>
    </cfRule>
  </conditionalFormatting>
  <conditionalFormatting sqref="G77:J77">
    <cfRule type="expression" dxfId="112" priority="35" stopIfTrue="1">
      <formula>IF(AND($D$77="Yes",$G$77=""),TRUE)</formula>
    </cfRule>
  </conditionalFormatting>
  <conditionalFormatting sqref="D26:E26">
    <cfRule type="expression" dxfId="111" priority="115" stopIfTrue="1">
      <formula>IF($D$26="",TRUE)</formula>
    </cfRule>
  </conditionalFormatting>
  <conditionalFormatting sqref="D27:E27">
    <cfRule type="expression" dxfId="110" priority="122" stopIfTrue="1">
      <formula>IF($D$27="",TRUE)</formula>
    </cfRule>
  </conditionalFormatting>
  <conditionalFormatting sqref="D28:E28">
    <cfRule type="expression" dxfId="109" priority="123" stopIfTrue="1">
      <formula>IF($D$28="",TRUE)</formula>
    </cfRule>
  </conditionalFormatting>
  <conditionalFormatting sqref="D29:E29">
    <cfRule type="expression" dxfId="108" priority="124" stopIfTrue="1">
      <formula>IF($D$29="",TRUE)</formula>
    </cfRule>
  </conditionalFormatting>
  <conditionalFormatting sqref="D8:J8">
    <cfRule type="expression" dxfId="107" priority="129" stopIfTrue="1">
      <formula>IF($D$8="",TRUE)</formula>
    </cfRule>
  </conditionalFormatting>
  <conditionalFormatting sqref="D9:G9">
    <cfRule type="expression" dxfId="106" priority="130" stopIfTrue="1">
      <formula>IF($D$9="",TRUE)</formula>
    </cfRule>
  </conditionalFormatting>
  <conditionalFormatting sqref="D15:J15">
    <cfRule type="expression" dxfId="105" priority="131" stopIfTrue="1">
      <formula>IF($D$15="",TRUE)</formula>
    </cfRule>
  </conditionalFormatting>
  <conditionalFormatting sqref="D16:J16">
    <cfRule type="expression" dxfId="104" priority="132" stopIfTrue="1">
      <formula>IF($D$16="",TRUE)</formula>
    </cfRule>
  </conditionalFormatting>
  <conditionalFormatting sqref="D17:J17">
    <cfRule type="expression" dxfId="103" priority="133" stopIfTrue="1">
      <formula>IF($D$17="",TRUE)</formula>
    </cfRule>
  </conditionalFormatting>
  <conditionalFormatting sqref="D18:J18">
    <cfRule type="expression" dxfId="102" priority="134" stopIfTrue="1">
      <formula>IF($D$18="",TRUE)</formula>
    </cfRule>
  </conditionalFormatting>
  <conditionalFormatting sqref="D22:E22">
    <cfRule type="expression" dxfId="101" priority="137" stopIfTrue="1">
      <formula>IF($D$22="",TRUE)</formula>
    </cfRule>
  </conditionalFormatting>
  <conditionalFormatting sqref="D10:J10">
    <cfRule type="expression" dxfId="100" priority="34" stopIfTrue="1">
      <formula>IF($D$9=$Q$9,TRUE)</formula>
    </cfRule>
    <cfRule type="expression" dxfId="99" priority="144" stopIfTrue="1">
      <formula>IF(AND($D$10="",$D$9=$R$9),TRUE)</formula>
    </cfRule>
  </conditionalFormatting>
  <conditionalFormatting sqref="D34:E34 D40:E40 D52:E52 D58:E58 D64:E64 D70:E70">
    <cfRule type="expression" dxfId="98" priority="27" stopIfTrue="1">
      <formula>$P$28=""</formula>
    </cfRule>
  </conditionalFormatting>
  <conditionalFormatting sqref="D35:E35 D41:E41 D53:E53 D59:E59 D65:E65 D71:E71">
    <cfRule type="expression" dxfId="97" priority="142" stopIfTrue="1">
      <formula>$P$29=""</formula>
    </cfRule>
  </conditionalFormatting>
  <conditionalFormatting sqref="D32:E32">
    <cfRule type="expression" dxfId="96" priority="120" stopIfTrue="1">
      <formula>$P$26=""</formula>
    </cfRule>
  </conditionalFormatting>
  <conditionalFormatting sqref="D32:E32">
    <cfRule type="expression" dxfId="95" priority="33" stopIfTrue="1">
      <formula>IF(AND(OR($D$26="Yes",$D$26=""),$D$32=""),1,0)</formula>
    </cfRule>
  </conditionalFormatting>
  <conditionalFormatting sqref="D38 D50 D56 D62 D68">
    <cfRule type="expression" dxfId="94" priority="29" stopIfTrue="1">
      <formula>$P$32=""</formula>
    </cfRule>
  </conditionalFormatting>
  <conditionalFormatting sqref="D39:E39 D51 D57 D63 D69">
    <cfRule type="expression" dxfId="93" priority="28" stopIfTrue="1">
      <formula>$P$33=""</formula>
    </cfRule>
  </conditionalFormatting>
  <conditionalFormatting sqref="D40 D52 D58 D64 D70">
    <cfRule type="expression" dxfId="92" priority="18" stopIfTrue="1">
      <formula>$P$34=""</formula>
    </cfRule>
    <cfRule type="expression" dxfId="91" priority="140" stopIfTrue="1">
      <formula>IF(AND(OR($D$28="Yes",$D$28=""),D40=""),1,0)</formula>
    </cfRule>
  </conditionalFormatting>
  <conditionalFormatting sqref="D41 D53 D59 D65 D71">
    <cfRule type="expression" dxfId="90" priority="26" stopIfTrue="1">
      <formula>$P$35=""</formula>
    </cfRule>
  </conditionalFormatting>
  <conditionalFormatting sqref="D38:E38 D50:E50 D56:E56 D62:E62 D68:E68">
    <cfRule type="expression" dxfId="89" priority="31" stopIfTrue="1">
      <formula>$P$26=""</formula>
    </cfRule>
    <cfRule type="expression" dxfId="88" priority="32" stopIfTrue="1">
      <formula>IF(AND(OR($D$26="Yes",$D$26=""),D38=""),1,0)</formula>
    </cfRule>
  </conditionalFormatting>
  <conditionalFormatting sqref="G85:J85">
    <cfRule type="expression" dxfId="87" priority="25" stopIfTrue="1">
      <formula>IF(AND($D$85="Yes, using other format (describe)",$G$85=""),TRUE)</formula>
    </cfRule>
  </conditionalFormatting>
  <conditionalFormatting sqref="D39:E39 D51:E51 D57:E57 D63:E63 D69:E69">
    <cfRule type="expression" dxfId="86" priority="138" stopIfTrue="1">
      <formula>$P$39=""</formula>
    </cfRule>
    <cfRule type="expression" dxfId="85" priority="139" stopIfTrue="1">
      <formula>IF(AND(OR($D$27="Yes",$D$27=""),D39=""),1,0)</formula>
    </cfRule>
  </conditionalFormatting>
  <conditionalFormatting sqref="D33:E33">
    <cfRule type="expression" dxfId="84" priority="20" stopIfTrue="1">
      <formula>IF(AND(OR($D$27="Yes",$D$27=""),$D$33=""),1,0)</formula>
    </cfRule>
    <cfRule type="expression" dxfId="83" priority="21" stopIfTrue="1">
      <formula>$P$27=""</formula>
    </cfRule>
  </conditionalFormatting>
  <conditionalFormatting sqref="D34:E34">
    <cfRule type="expression" dxfId="82" priority="141" stopIfTrue="1">
      <formula>IF(AND(OR($D$28="Yes",$D$28=""),$D$34=""),1,0)</formula>
    </cfRule>
  </conditionalFormatting>
  <conditionalFormatting sqref="D41:E41 D53:E53 D59:E59 D65:E65 D71:E71">
    <cfRule type="expression" dxfId="81" priority="143" stopIfTrue="1">
      <formula>IF(AND(OR($D$29="Yes",$D$29=""),D41=""),1,0)</formula>
    </cfRule>
  </conditionalFormatting>
  <conditionalFormatting sqref="D35:E35">
    <cfRule type="expression" dxfId="80" priority="17" stopIfTrue="1">
      <formula>IF(AND(OR($D$29="Yes",$D$29=""),$D$35=""),1,0)</formula>
    </cfRule>
  </conditionalFormatting>
  <conditionalFormatting sqref="D20:J20">
    <cfRule type="expression" dxfId="79" priority="13" stopIfTrue="1">
      <formula>IF($D$20="",TRUE)</formula>
    </cfRule>
  </conditionalFormatting>
  <conditionalFormatting sqref="D46:E46">
    <cfRule type="expression" dxfId="78" priority="3" stopIfTrue="1">
      <formula>$P$28=""</formula>
    </cfRule>
  </conditionalFormatting>
  <conditionalFormatting sqref="D47:E47">
    <cfRule type="expression" dxfId="77" priority="11" stopIfTrue="1">
      <formula>$P$29=""</formula>
    </cfRule>
  </conditionalFormatting>
  <conditionalFormatting sqref="D44">
    <cfRule type="expression" dxfId="76" priority="5" stopIfTrue="1">
      <formula>$P$32=""</formula>
    </cfRule>
  </conditionalFormatting>
  <conditionalFormatting sqref="D45">
    <cfRule type="expression" dxfId="75" priority="4" stopIfTrue="1">
      <formula>$P$33=""</formula>
    </cfRule>
  </conditionalFormatting>
  <conditionalFormatting sqref="D46">
    <cfRule type="expression" dxfId="74" priority="1" stopIfTrue="1">
      <formula>$P$34=""</formula>
    </cfRule>
    <cfRule type="expression" dxfId="73" priority="10" stopIfTrue="1">
      <formula>IF(AND(OR($D$28="Yes",$D$28=""),D46=""),1,0)</formula>
    </cfRule>
  </conditionalFormatting>
  <conditionalFormatting sqref="D47">
    <cfRule type="expression" dxfId="72" priority="2" stopIfTrue="1">
      <formula>$P$35=""</formula>
    </cfRule>
  </conditionalFormatting>
  <conditionalFormatting sqref="D44:E44">
    <cfRule type="expression" dxfId="71" priority="6" stopIfTrue="1">
      <formula>$P$26=""</formula>
    </cfRule>
    <cfRule type="expression" dxfId="70" priority="7" stopIfTrue="1">
      <formula>IF(AND(OR($D$26="Yes",$D$26=""),D44=""),1,0)</formula>
    </cfRule>
  </conditionalFormatting>
  <conditionalFormatting sqref="D45:E45">
    <cfRule type="expression" dxfId="69" priority="8" stopIfTrue="1">
      <formula>$P$39=""</formula>
    </cfRule>
    <cfRule type="expression" dxfId="68" priority="9" stopIfTrue="1">
      <formula>IF(AND(OR($D$27="Yes",$D$27=""),D45=""),1,0)</formula>
    </cfRule>
  </conditionalFormatting>
  <conditionalFormatting sqref="D47:E47">
    <cfRule type="expression" dxfId="67" priority="12" stopIfTrue="1">
      <formula>IF(AND(OR($D$29="Yes",$D$29=""),D47=""),1,0)</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1385"/>
  <sheetViews>
    <sheetView showGridLines="0" showZeros="0" zoomScale="80" zoomScaleNormal="80" zoomScalePageLayoutView="55" workbookViewId="0">
      <pane ySplit="4" topLeftCell="A5" activePane="bottomLeft" state="frozen"/>
      <selection pane="bottomLeft" activeCell="B3" sqref="B3:E3"/>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6.149999999999999"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58" t="str">
        <f ca="1">OFFSET(L!$C$1,MATCH("Smelter List"&amp;ADDRESS(ROW(),COLUMN(),4),L!$A:$A,0)-1,SL,,)</f>
        <v>Link to "RMAP Conformant Smelter List"</v>
      </c>
      <c r="K2" s="459"/>
      <c r="L2" s="459"/>
      <c r="M2" s="459"/>
      <c r="N2" s="459"/>
      <c r="O2" s="459"/>
      <c r="P2" s="231"/>
      <c r="Q2" s="232"/>
      <c r="R2" s="233"/>
      <c r="S2" s="233"/>
      <c r="T2" s="233"/>
      <c r="U2" s="262"/>
      <c r="V2" s="262"/>
      <c r="W2" s="263"/>
      <c r="X2" s="262"/>
      <c r="Y2" s="262"/>
      <c r="Z2" s="262"/>
      <c r="AH2" s="174" t="s">
        <v>488</v>
      </c>
    </row>
    <row r="3" spans="1:34" s="264" customFormat="1" ht="286.5" customHeight="1">
      <c r="A3" s="202"/>
      <c r="B3" s="46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60"/>
      <c r="D3" s="460"/>
      <c r="E3" s="460"/>
      <c r="F3" s="265"/>
      <c r="G3" s="461" t="str">
        <f ca="1">OFFSET(L!$C$1,MATCH("General"&amp;"Cpy",L!$A:$A,0)-1,SL,,)</f>
        <v>© 2021 Responsible Minerals Initiative. All rights reserved.</v>
      </c>
      <c r="H3" s="461"/>
      <c r="I3" s="462"/>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89.25">
      <c r="A5" s="354" t="s">
        <v>653</v>
      </c>
      <c r="B5" s="355" t="s">
        <v>1130</v>
      </c>
      <c r="C5" s="356" t="s">
        <v>12640</v>
      </c>
      <c r="D5" s="357"/>
      <c r="E5" s="355" t="s">
        <v>15626</v>
      </c>
      <c r="F5" s="355" t="s">
        <v>653</v>
      </c>
      <c r="G5" s="355" t="s">
        <v>13459</v>
      </c>
      <c r="H5" s="358" t="s">
        <v>15627</v>
      </c>
      <c r="I5" s="359" t="s">
        <v>1553</v>
      </c>
      <c r="J5" s="359" t="s">
        <v>1554</v>
      </c>
      <c r="K5" s="360" t="s">
        <v>15628</v>
      </c>
      <c r="L5" s="360" t="s">
        <v>15629</v>
      </c>
      <c r="M5" s="360"/>
      <c r="N5" s="360"/>
      <c r="O5" s="360" t="s">
        <v>15630</v>
      </c>
      <c r="P5" s="361"/>
      <c r="Q5" s="362"/>
      <c r="R5" s="215" t="str">
        <f ca="1">IF(ISERROR($V5),"",OFFSET('Smelter Look-up'!$C$4,$V5-4,0)&amp;"")</f>
        <v>AngloGold Ashanti Corrego do Sitio Mineracao</v>
      </c>
      <c r="S5" s="222" t="str">
        <f t="shared" ref="S5:S16" ca="1" si="0">IF(B5="","",IF(ISERROR(MATCH($E5,CL,0)),"Unknown",INDIRECT("'C'!$A$"&amp;MATCH($E5,CL,0)+1)))</f>
        <v>BR</v>
      </c>
      <c r="T5" s="222" t="str">
        <f ca="1">IF(B5="","",IF(ISERROR(MATCH($J5,SorP!$B$1:$B$6230,0)),"",INDIRECT("'SorP'!$A$"&amp;MATCH($J5,SorP!$B$1:$B$6230,0))))</f>
        <v>BR-MG</v>
      </c>
      <c r="U5" s="238"/>
      <c r="V5" s="270">
        <f>IF(C5="",NA(),MATCH($B5&amp;$C5,'Smelter Look-up'!$J:$J,0))</f>
        <v>20</v>
      </c>
      <c r="W5" s="271"/>
      <c r="X5" s="271">
        <f t="shared" ref="X5:X16" si="1">IF(AND(C5="Smelter not listed",OR(LEN(D5)=0,LEN(E5)=0)),1,0)</f>
        <v>0</v>
      </c>
      <c r="Y5" s="271"/>
      <c r="Z5" s="271"/>
      <c r="AB5" s="273" t="str">
        <f t="shared" ref="AB5:AB16" si="2">B5&amp;C5</f>
        <v>GoldAngloGold Ashanti Corrego do Sitio Mineracao</v>
      </c>
    </row>
    <row r="6" spans="1:34" s="272" customFormat="1" ht="105" customHeight="1">
      <c r="A6" s="354" t="s">
        <v>766</v>
      </c>
      <c r="B6" s="355" t="s">
        <v>1131</v>
      </c>
      <c r="C6" s="356" t="s">
        <v>49</v>
      </c>
      <c r="D6" s="357"/>
      <c r="E6" s="355" t="s">
        <v>15631</v>
      </c>
      <c r="F6" s="355" t="s">
        <v>766</v>
      </c>
      <c r="G6" s="355" t="s">
        <v>13459</v>
      </c>
      <c r="H6" s="358" t="s">
        <v>15632</v>
      </c>
      <c r="I6" s="359" t="s">
        <v>1773</v>
      </c>
      <c r="J6" s="359" t="s">
        <v>1749</v>
      </c>
      <c r="K6" s="360" t="s">
        <v>15633</v>
      </c>
      <c r="L6" s="360" t="s">
        <v>15634</v>
      </c>
      <c r="M6" s="360"/>
      <c r="N6" s="360"/>
      <c r="O6" s="360" t="s">
        <v>15635</v>
      </c>
      <c r="P6" s="361"/>
      <c r="Q6" s="362"/>
      <c r="R6" s="215" t="str">
        <f ca="1">IF(ISERROR($V6),"",OFFSET('Smelter Look-up'!$C$4,$V6-4,0)&amp;"")</f>
        <v>Alpha</v>
      </c>
      <c r="S6" s="222" t="str">
        <f t="shared" ca="1" si="0"/>
        <v>US</v>
      </c>
      <c r="T6" s="222" t="str">
        <f ca="1">IF(B6="","",IF(ISERROR(MATCH($J6,SorP!$B$1:$B$6230,0)),"",INDIRECT("'SorP'!$A$"&amp;MATCH($J6,SorP!$B$1:$B$6230,0))))</f>
        <v>US-PA</v>
      </c>
      <c r="U6" s="238"/>
      <c r="V6" s="270">
        <f>IF(C6="",NA(),MATCH($B6&amp;$C6,'Smelter Look-up'!$J:$J,0))</f>
        <v>384</v>
      </c>
      <c r="W6" s="271"/>
      <c r="X6" s="271">
        <f t="shared" si="1"/>
        <v>0</v>
      </c>
      <c r="Y6" s="271"/>
      <c r="Z6" s="271"/>
      <c r="AB6" s="273" t="str">
        <f t="shared" si="2"/>
        <v>TinAlpha</v>
      </c>
    </row>
    <row r="7" spans="1:34" s="272" customFormat="1" ht="63.75">
      <c r="A7" s="354" t="s">
        <v>654</v>
      </c>
      <c r="B7" s="355" t="s">
        <v>1130</v>
      </c>
      <c r="C7" s="356" t="s">
        <v>2309</v>
      </c>
      <c r="D7" s="357"/>
      <c r="E7" s="355" t="s">
        <v>15636</v>
      </c>
      <c r="F7" s="355" t="s">
        <v>654</v>
      </c>
      <c r="G7" s="355" t="s">
        <v>13459</v>
      </c>
      <c r="H7" s="358" t="s">
        <v>15637</v>
      </c>
      <c r="I7" s="359" t="s">
        <v>1555</v>
      </c>
      <c r="J7" s="359" t="s">
        <v>1556</v>
      </c>
      <c r="K7" s="360" t="s">
        <v>15638</v>
      </c>
      <c r="L7" s="360" t="s">
        <v>15639</v>
      </c>
      <c r="M7" s="360"/>
      <c r="N7" s="360"/>
      <c r="O7" s="360" t="s">
        <v>15640</v>
      </c>
      <c r="P7" s="361"/>
      <c r="Q7" s="362"/>
      <c r="R7" s="215" t="str">
        <f ca="1">IF(ISERROR($V7),"",OFFSET('Smelter Look-up'!$C$4,$V7-4,0)&amp;"")</f>
        <v>Argor-Heraeus S.A.</v>
      </c>
      <c r="S7" s="222" t="str">
        <f t="shared" ca="1" si="0"/>
        <v>CH</v>
      </c>
      <c r="T7" s="222" t="str">
        <f ca="1">IF(B7="","",IF(ISERROR(MATCH($J7,SorP!$B$1:$B$6230,0)),"",INDIRECT("'SorP'!$A$"&amp;MATCH($J7,SorP!$B$1:$B$6230,0))))</f>
        <v>CH-TI</v>
      </c>
      <c r="U7" s="238"/>
      <c r="V7" s="270">
        <f>IF(C7="",NA(),MATCH($B7&amp;$C7,'Smelter Look-up'!$J:$J,0))</f>
        <v>25</v>
      </c>
      <c r="W7" s="271"/>
      <c r="X7" s="271">
        <f t="shared" si="1"/>
        <v>0</v>
      </c>
      <c r="Y7" s="271"/>
      <c r="Z7" s="271"/>
      <c r="AB7" s="273" t="str">
        <f t="shared" si="2"/>
        <v>GoldArgor-Heraeus S.A.</v>
      </c>
    </row>
    <row r="8" spans="1:34" s="272" customFormat="1" ht="77.25" customHeight="1">
      <c r="A8" s="354" t="s">
        <v>656</v>
      </c>
      <c r="B8" s="355" t="s">
        <v>1130</v>
      </c>
      <c r="C8" s="356" t="s">
        <v>2157</v>
      </c>
      <c r="D8" s="357"/>
      <c r="E8" s="355" t="s">
        <v>15641</v>
      </c>
      <c r="F8" s="355" t="s">
        <v>656</v>
      </c>
      <c r="G8" s="355" t="s">
        <v>13459</v>
      </c>
      <c r="H8" s="358" t="s">
        <v>15642</v>
      </c>
      <c r="I8" s="359" t="s">
        <v>1560</v>
      </c>
      <c r="J8" s="359" t="s">
        <v>1561</v>
      </c>
      <c r="K8" s="360" t="s">
        <v>15643</v>
      </c>
      <c r="L8" s="360" t="s">
        <v>15644</v>
      </c>
      <c r="M8" s="360"/>
      <c r="N8" s="360"/>
      <c r="O8" s="360" t="s">
        <v>15645</v>
      </c>
      <c r="P8" s="361"/>
      <c r="Q8" s="362"/>
      <c r="R8" s="215" t="str">
        <f ca="1">IF(ISERROR($V8),"",OFFSET('Smelter Look-up'!$C$4,$V8-4,0)&amp;"")</f>
        <v>Asaka Riken Co., Ltd.</v>
      </c>
      <c r="S8" s="222" t="str">
        <f t="shared" ca="1" si="0"/>
        <v>JP</v>
      </c>
      <c r="T8" s="222" t="str">
        <f ca="1">IF(B8="","",IF(ISERROR(MATCH($J8,SorP!$B$1:$B$6230,0)),"",INDIRECT("'SorP'!$A$"&amp;MATCH($J8,SorP!$B$1:$B$6230,0))))</f>
        <v>JP-07</v>
      </c>
      <c r="U8" s="238"/>
      <c r="V8" s="270">
        <f>IF(C8="",NA(),MATCH($B8&amp;$C8,'Smelter Look-up'!$J:$J,0))</f>
        <v>29</v>
      </c>
      <c r="W8" s="271"/>
      <c r="X8" s="271">
        <f t="shared" si="1"/>
        <v>0</v>
      </c>
      <c r="Y8" s="271"/>
      <c r="Z8" s="271"/>
      <c r="AB8" s="273" t="str">
        <f t="shared" si="2"/>
        <v>GoldAsaka Riken Co., Ltd.</v>
      </c>
    </row>
    <row r="9" spans="1:34" s="272" customFormat="1" ht="93.75" customHeight="1">
      <c r="A9" s="354" t="s">
        <v>798</v>
      </c>
      <c r="B9" s="355" t="s">
        <v>1133</v>
      </c>
      <c r="C9" s="356" t="s">
        <v>1381</v>
      </c>
      <c r="D9" s="357"/>
      <c r="E9" s="355" t="s">
        <v>15646</v>
      </c>
      <c r="F9" s="355" t="s">
        <v>798</v>
      </c>
      <c r="G9" s="355" t="s">
        <v>13459</v>
      </c>
      <c r="H9" s="358" t="s">
        <v>15647</v>
      </c>
      <c r="I9" s="359" t="s">
        <v>1752</v>
      </c>
      <c r="J9" s="359" t="s">
        <v>13846</v>
      </c>
      <c r="K9" s="360" t="s">
        <v>15648</v>
      </c>
      <c r="L9" s="360" t="s">
        <v>15649</v>
      </c>
      <c r="M9" s="360"/>
      <c r="N9" s="360"/>
      <c r="O9" s="360" t="s">
        <v>15650</v>
      </c>
      <c r="P9" s="361"/>
      <c r="Q9" s="362"/>
      <c r="R9" s="215" t="str">
        <f ca="1">IF(ISERROR($V9),"",OFFSET('Smelter Look-up'!$C$4,$V9-4,0)&amp;"")</f>
        <v>Hunan Chunchang Nonferrous Metals Co., Ltd.</v>
      </c>
      <c r="S9" s="222" t="str">
        <f t="shared" ca="1" si="0"/>
        <v>CN</v>
      </c>
      <c r="T9" s="222" t="str">
        <f ca="1">IF(B9="","",IF(ISERROR(MATCH($J9,SorP!$B$1:$B$6230,0)),"",INDIRECT("'SorP'!$A$"&amp;MATCH($J9,SorP!$B$1:$B$6230,0))))</f>
        <v>CN-HN</v>
      </c>
      <c r="U9" s="238"/>
      <c r="V9" s="270">
        <f>IF(C9="",NA(),MATCH($B9&amp;$C9,'Smelter Look-up'!$J:$J,0))</f>
        <v>569</v>
      </c>
      <c r="W9" s="271"/>
      <c r="X9" s="271">
        <f t="shared" si="1"/>
        <v>0</v>
      </c>
      <c r="Y9" s="271"/>
      <c r="Z9" s="271"/>
      <c r="AB9" s="273" t="str">
        <f t="shared" si="2"/>
        <v>TungstenHunan Chunchang Nonferrous Metals Co., Ltd.</v>
      </c>
    </row>
    <row r="10" spans="1:34" s="272" customFormat="1" ht="114.75">
      <c r="A10" s="354" t="s">
        <v>13395</v>
      </c>
      <c r="B10" s="355" t="s">
        <v>1130</v>
      </c>
      <c r="C10" s="356" t="s">
        <v>13394</v>
      </c>
      <c r="D10" s="357"/>
      <c r="E10" s="355" t="s">
        <v>15646</v>
      </c>
      <c r="F10" s="355" t="s">
        <v>13395</v>
      </c>
      <c r="G10" s="355" t="s">
        <v>13459</v>
      </c>
      <c r="H10" s="358" t="s">
        <v>15651</v>
      </c>
      <c r="I10" s="359" t="s">
        <v>1788</v>
      </c>
      <c r="J10" s="359" t="s">
        <v>13846</v>
      </c>
      <c r="K10" s="360" t="s">
        <v>15652</v>
      </c>
      <c r="L10" s="360" t="s">
        <v>15653</v>
      </c>
      <c r="M10" s="360"/>
      <c r="N10" s="360"/>
      <c r="O10" s="360" t="s">
        <v>15654</v>
      </c>
      <c r="P10" s="361"/>
      <c r="Q10" s="362"/>
      <c r="R10" s="215" t="str">
        <f ca="1">IF(ISERROR($V10),"",OFFSET('Smelter Look-up'!$C$4,$V10-4,0)&amp;"")</f>
        <v>Hunan Guiyang yinxing Nonferrous Smelting Co., Ltd.</v>
      </c>
      <c r="S10" s="222" t="str">
        <f t="shared" ca="1" si="0"/>
        <v>CN</v>
      </c>
      <c r="T10" s="222" t="str">
        <f ca="1">IF(B10="","",IF(ISERROR(MATCH($J10,SorP!$B$1:$B$6230,0)),"",INDIRECT("'SorP'!$A$"&amp;MATCH($J10,SorP!$B$1:$B$6230,0))))</f>
        <v>CN-HN</v>
      </c>
      <c r="U10" s="238"/>
      <c r="V10" s="270">
        <f>IF(C10="",NA(),MATCH($B10&amp;$C10,'Smelter Look-up'!$J:$J,0))</f>
        <v>108</v>
      </c>
      <c r="W10" s="271"/>
      <c r="X10" s="271">
        <f t="shared" si="1"/>
        <v>0</v>
      </c>
      <c r="Y10" s="271"/>
      <c r="Z10" s="271"/>
      <c r="AB10" s="273" t="str">
        <f t="shared" si="2"/>
        <v>GoldHunan Guiyang yinxing Nonferrous Smelting Co., Ltd.</v>
      </c>
    </row>
    <row r="11" spans="1:34" s="272" customFormat="1" ht="25.5">
      <c r="A11" s="354" t="s">
        <v>686</v>
      </c>
      <c r="B11" s="355" t="s">
        <v>1130</v>
      </c>
      <c r="C11" s="356" t="s">
        <v>908</v>
      </c>
      <c r="D11" s="357"/>
      <c r="E11" s="355" t="s">
        <v>15641</v>
      </c>
      <c r="F11" s="355" t="s">
        <v>686</v>
      </c>
      <c r="G11" s="355" t="s">
        <v>13459</v>
      </c>
      <c r="H11" s="358" t="s">
        <v>15655</v>
      </c>
      <c r="I11" s="359" t="s">
        <v>1603</v>
      </c>
      <c r="J11" s="359" t="s">
        <v>1603</v>
      </c>
      <c r="K11" s="360" t="s">
        <v>15625</v>
      </c>
      <c r="L11" s="360" t="s">
        <v>15656</v>
      </c>
      <c r="M11" s="360"/>
      <c r="N11" s="360"/>
      <c r="O11" s="360" t="s">
        <v>15657</v>
      </c>
      <c r="P11" s="361"/>
      <c r="Q11" s="362"/>
      <c r="R11" s="215" t="str">
        <f ca="1">IF(ISERROR($V11),"",OFFSET('Smelter Look-up'!$C$4,$V11-4,0)&amp;"")</f>
        <v>Japan Mint</v>
      </c>
      <c r="S11" s="222" t="str">
        <f t="shared" ca="1" si="0"/>
        <v>JP</v>
      </c>
      <c r="T11" s="222" t="str">
        <f ca="1">IF(B11="","",IF(ISERROR(MATCH($J11,SorP!$B$1:$B$6230,0)),"",INDIRECT("'SorP'!$A$"&amp;MATCH($J11,SorP!$B$1:$B$6230,0))))</f>
        <v>JP-27</v>
      </c>
      <c r="U11" s="238"/>
      <c r="V11" s="270">
        <f>IF(C11="",NA(),MATCH($B11&amp;$C11,'Smelter Look-up'!$J:$J,0))</f>
        <v>118</v>
      </c>
      <c r="W11" s="271"/>
      <c r="X11" s="271">
        <f t="shared" si="1"/>
        <v>0</v>
      </c>
      <c r="Y11" s="271"/>
      <c r="Z11" s="271"/>
      <c r="AB11" s="273" t="str">
        <f t="shared" si="2"/>
        <v>GoldJapan Mint</v>
      </c>
    </row>
    <row r="12" spans="1:34" s="272" customFormat="1" ht="76.5">
      <c r="A12" s="354" t="s">
        <v>669</v>
      </c>
      <c r="B12" s="355" t="s">
        <v>1130</v>
      </c>
      <c r="C12" s="356" t="s">
        <v>668</v>
      </c>
      <c r="D12" s="357"/>
      <c r="E12" s="355" t="s">
        <v>15646</v>
      </c>
      <c r="F12" s="355" t="s">
        <v>669</v>
      </c>
      <c r="G12" s="355" t="s">
        <v>13459</v>
      </c>
      <c r="H12" s="358" t="s">
        <v>15658</v>
      </c>
      <c r="I12" s="359" t="s">
        <v>1579</v>
      </c>
      <c r="J12" s="359" t="s">
        <v>13845</v>
      </c>
      <c r="K12" s="360" t="s">
        <v>15659</v>
      </c>
      <c r="L12" s="360" t="s">
        <v>15660</v>
      </c>
      <c r="M12" s="360"/>
      <c r="N12" s="360"/>
      <c r="O12" s="360" t="s">
        <v>15661</v>
      </c>
      <c r="P12" s="361"/>
      <c r="Q12" s="362"/>
      <c r="R12" s="215" t="str">
        <f ca="1">IF(ISERROR($V12),"",OFFSET('Smelter Look-up'!$C$4,$V12-4,0)&amp;"")</f>
        <v>Daye Non-Ferrous Metals Mining Ltd.</v>
      </c>
      <c r="S12" s="222" t="str">
        <f t="shared" ca="1" si="0"/>
        <v>CN</v>
      </c>
      <c r="T12" s="222" t="str">
        <f ca="1">IF(B12="","",IF(ISERROR(MATCH($J12,SorP!$B$1:$B$6230,0)),"",INDIRECT("'SorP'!$A$"&amp;MATCH($J12,SorP!$B$1:$B$6230,0))))</f>
        <v>CN-HB</v>
      </c>
      <c r="U12" s="238"/>
      <c r="V12" s="270">
        <f>IF(C12="",NA(),MATCH($B12&amp;$C12,'Smelter Look-up'!$J:$J,0))</f>
        <v>56</v>
      </c>
      <c r="W12" s="271"/>
      <c r="X12" s="271">
        <f t="shared" si="1"/>
        <v>0</v>
      </c>
      <c r="Y12" s="271"/>
      <c r="Z12" s="271"/>
      <c r="AB12" s="273" t="str">
        <f t="shared" si="2"/>
        <v>GoldDaye Non-Ferrous Metals Mining Ltd.</v>
      </c>
    </row>
    <row r="13" spans="1:34" s="272" customFormat="1" ht="63.75">
      <c r="A13" s="354" t="s">
        <v>688</v>
      </c>
      <c r="B13" s="355" t="s">
        <v>1130</v>
      </c>
      <c r="C13" s="356" t="s">
        <v>2217</v>
      </c>
      <c r="D13" s="357"/>
      <c r="E13" s="355" t="s">
        <v>15631</v>
      </c>
      <c r="F13" s="355" t="s">
        <v>688</v>
      </c>
      <c r="G13" s="355" t="s">
        <v>13459</v>
      </c>
      <c r="H13" s="358" t="s">
        <v>15662</v>
      </c>
      <c r="I13" s="359" t="s">
        <v>1606</v>
      </c>
      <c r="J13" s="359" t="s">
        <v>1607</v>
      </c>
      <c r="K13" s="360" t="s">
        <v>15663</v>
      </c>
      <c r="L13" s="360" t="s">
        <v>15664</v>
      </c>
      <c r="M13" s="360"/>
      <c r="N13" s="360"/>
      <c r="O13" s="360" t="s">
        <v>15665</v>
      </c>
      <c r="P13" s="361"/>
      <c r="Q13" s="362"/>
      <c r="R13" s="215" t="str">
        <f ca="1">IF(ISERROR($V13),"",OFFSET('Smelter Look-up'!$C$4,$V13-4,0)&amp;"")</f>
        <v>Asahi Refining USA Inc.</v>
      </c>
      <c r="S13" s="222" t="str">
        <f t="shared" ca="1" si="0"/>
        <v>US</v>
      </c>
      <c r="T13" s="222" t="str">
        <f ca="1">IF(B13="","",IF(ISERROR(MATCH($J13,SorP!$B$1:$B$6230,0)),"",INDIRECT("'SorP'!$A$"&amp;MATCH($J13,SorP!$B$1:$B$6230,0))))</f>
        <v>US-UT</v>
      </c>
      <c r="U13" s="238"/>
      <c r="V13" s="270">
        <f>IF(C13="",NA(),MATCH($B13&amp;$C13,'Smelter Look-up'!$J:$J,0))</f>
        <v>28</v>
      </c>
      <c r="W13" s="271"/>
      <c r="X13" s="271">
        <f t="shared" si="1"/>
        <v>0</v>
      </c>
      <c r="Y13" s="271"/>
      <c r="Z13" s="271"/>
      <c r="AB13" s="273" t="str">
        <f t="shared" si="2"/>
        <v>GoldAsahi Refining USA Inc.</v>
      </c>
    </row>
    <row r="14" spans="1:34" s="272" customFormat="1" ht="63.75">
      <c r="A14" s="354" t="s">
        <v>689</v>
      </c>
      <c r="B14" s="355" t="s">
        <v>1130</v>
      </c>
      <c r="C14" s="356" t="s">
        <v>2311</v>
      </c>
      <c r="D14" s="357"/>
      <c r="E14" s="355" t="s">
        <v>15666</v>
      </c>
      <c r="F14" s="355" t="s">
        <v>689</v>
      </c>
      <c r="G14" s="355" t="s">
        <v>13459</v>
      </c>
      <c r="H14" s="358" t="s">
        <v>15667</v>
      </c>
      <c r="I14" s="359" t="s">
        <v>1609</v>
      </c>
      <c r="J14" s="359" t="s">
        <v>1610</v>
      </c>
      <c r="K14" s="360" t="s">
        <v>15663</v>
      </c>
      <c r="L14" s="360" t="s">
        <v>15664</v>
      </c>
      <c r="M14" s="360"/>
      <c r="N14" s="360"/>
      <c r="O14" s="360" t="s">
        <v>15668</v>
      </c>
      <c r="P14" s="361"/>
      <c r="Q14" s="362"/>
      <c r="R14" s="215" t="str">
        <f ca="1">IF(ISERROR($V14),"",OFFSET('Smelter Look-up'!$C$4,$V14-4,0)&amp;"")</f>
        <v>Asahi Refining Canada Ltd.</v>
      </c>
      <c r="S14" s="222" t="str">
        <f t="shared" ca="1" si="0"/>
        <v>CA</v>
      </c>
      <c r="T14" s="222" t="str">
        <f ca="1">IF(B14="","",IF(ISERROR(MATCH($J14,SorP!$B$1:$B$6230,0)),"",INDIRECT("'SorP'!$A$"&amp;MATCH($J14,SorP!$B$1:$B$6230,0))))</f>
        <v>CA-ON</v>
      </c>
      <c r="U14" s="238"/>
      <c r="V14" s="270">
        <f>IF(C14="",NA(),MATCH($B14&amp;$C14,'Smelter Look-up'!$J:$J,0))</f>
        <v>27</v>
      </c>
      <c r="W14" s="271"/>
      <c r="X14" s="271">
        <f t="shared" si="1"/>
        <v>0</v>
      </c>
      <c r="Y14" s="271"/>
      <c r="Z14" s="271"/>
      <c r="AB14" s="273" t="str">
        <f t="shared" si="2"/>
        <v>GoldAsahi Refining Canada Ltd.</v>
      </c>
    </row>
    <row r="15" spans="1:34" s="272" customFormat="1" ht="63.75">
      <c r="A15" s="354" t="s">
        <v>15378</v>
      </c>
      <c r="B15" s="355" t="s">
        <v>1131</v>
      </c>
      <c r="C15" s="356" t="s">
        <v>15377</v>
      </c>
      <c r="D15" s="357"/>
      <c r="E15" s="355" t="s">
        <v>15669</v>
      </c>
      <c r="F15" s="355" t="s">
        <v>15378</v>
      </c>
      <c r="G15" s="355" t="s">
        <v>13459</v>
      </c>
      <c r="H15" s="358"/>
      <c r="I15" s="359" t="s">
        <v>15437</v>
      </c>
      <c r="J15" s="359" t="s">
        <v>13066</v>
      </c>
      <c r="K15" s="360" t="s">
        <v>15670</v>
      </c>
      <c r="L15" s="360" t="s">
        <v>15671</v>
      </c>
      <c r="M15" s="360"/>
      <c r="N15" s="360"/>
      <c r="O15" s="360"/>
      <c r="P15" s="361"/>
      <c r="Q15" s="362"/>
      <c r="R15" s="215" t="str">
        <f ca="1">IF(ISERROR($V15),"",OFFSET('Smelter Look-up'!$C$4,$V15-4,0)&amp;"")</f>
        <v>PT Aries Kencana Sejahtera</v>
      </c>
      <c r="S15" s="222" t="str">
        <f t="shared" ca="1" si="0"/>
        <v>ID</v>
      </c>
      <c r="T15" s="222" t="str">
        <f ca="1">IF(B15="","",IF(ISERROR(MATCH($J15,SorP!$B$1:$B$6230,0)),"",INDIRECT("'SorP'!$A$"&amp;MATCH($J15,SorP!$B$1:$B$6230,0))))</f>
        <v>ID-BB</v>
      </c>
      <c r="U15" s="238"/>
      <c r="V15" s="270">
        <f>IF(C15="",NA(),MATCH($B15&amp;$C15,'Smelter Look-up'!$J:$J,0))</f>
        <v>475</v>
      </c>
      <c r="W15" s="271"/>
      <c r="X15" s="271">
        <f t="shared" si="1"/>
        <v>0</v>
      </c>
      <c r="Y15" s="271"/>
      <c r="Z15" s="271"/>
      <c r="AB15" s="273" t="str">
        <f t="shared" si="2"/>
        <v>TinPT Aries Kencana Sejahtera</v>
      </c>
    </row>
    <row r="16" spans="1:34" s="272" customFormat="1" ht="76.5">
      <c r="A16" s="354" t="s">
        <v>692</v>
      </c>
      <c r="B16" s="355" t="s">
        <v>1130</v>
      </c>
      <c r="C16" s="356" t="s">
        <v>55</v>
      </c>
      <c r="D16" s="357"/>
      <c r="E16" s="355" t="s">
        <v>15641</v>
      </c>
      <c r="F16" s="355" t="s">
        <v>692</v>
      </c>
      <c r="G16" s="355" t="s">
        <v>13459</v>
      </c>
      <c r="H16" s="358" t="s">
        <v>15672</v>
      </c>
      <c r="I16" s="359" t="s">
        <v>2393</v>
      </c>
      <c r="J16" s="359" t="s">
        <v>6770</v>
      </c>
      <c r="K16" s="360" t="s">
        <v>15673</v>
      </c>
      <c r="L16" s="360" t="s">
        <v>15674</v>
      </c>
      <c r="M16" s="360"/>
      <c r="N16" s="360"/>
      <c r="O16" s="360" t="s">
        <v>15675</v>
      </c>
      <c r="P16" s="361"/>
      <c r="Q16" s="362"/>
      <c r="R16" s="215" t="str">
        <f ca="1">IF(ISERROR($V16),"",OFFSET('Smelter Look-up'!$C$4,$V16-4,0)&amp;"")</f>
        <v>JX Nippon Mining &amp; Metals Co., Ltd.</v>
      </c>
      <c r="S16" s="222" t="str">
        <f t="shared" ca="1" si="0"/>
        <v>JP</v>
      </c>
      <c r="T16" s="222" t="str">
        <f ca="1">IF(B16="","",IF(ISERROR(MATCH($J16,SorP!$B$1:$B$6230,0)),"",INDIRECT("'SorP'!$A$"&amp;MATCH($J16,SorP!$B$1:$B$6230,0))))</f>
        <v>JP-44</v>
      </c>
      <c r="U16" s="238"/>
      <c r="V16" s="270">
        <f>IF(C16="",NA(),MATCH($B16&amp;$C16,'Smelter Look-up'!$J:$J,0))</f>
        <v>128</v>
      </c>
      <c r="W16" s="271"/>
      <c r="X16" s="271">
        <f t="shared" si="1"/>
        <v>0</v>
      </c>
      <c r="Y16" s="271"/>
      <c r="Z16" s="271"/>
      <c r="AB16" s="273" t="str">
        <f t="shared" si="2"/>
        <v>GoldJX Nippon Mining &amp; Metals Co., Ltd.</v>
      </c>
    </row>
    <row r="17" spans="1:28" s="272" customFormat="1" ht="89.25">
      <c r="A17" s="354" t="s">
        <v>772</v>
      </c>
      <c r="B17" s="355" t="s">
        <v>1131</v>
      </c>
      <c r="C17" s="356" t="s">
        <v>1427</v>
      </c>
      <c r="D17" s="357"/>
      <c r="E17" s="355" t="s">
        <v>15646</v>
      </c>
      <c r="F17" s="355" t="s">
        <v>772</v>
      </c>
      <c r="G17" s="355" t="s">
        <v>13459</v>
      </c>
      <c r="H17" s="358" t="s">
        <v>15676</v>
      </c>
      <c r="I17" s="359" t="s">
        <v>2477</v>
      </c>
      <c r="J17" s="359" t="s">
        <v>13851</v>
      </c>
      <c r="K17" s="360" t="s">
        <v>15677</v>
      </c>
      <c r="L17" s="360" t="s">
        <v>15678</v>
      </c>
      <c r="M17" s="360"/>
      <c r="N17" s="360"/>
      <c r="O17" s="360" t="s">
        <v>15679</v>
      </c>
      <c r="P17" s="361"/>
      <c r="Q17" s="362"/>
      <c r="R17" s="215" t="str">
        <f ca="1">IF(ISERROR($V17),"",OFFSET('Smelter Look-up'!$C$4,$V17-4,0)&amp;"")</f>
        <v>Gejiu Kai Meng Industry and Trade LLC</v>
      </c>
      <c r="S17" s="222" t="str">
        <f t="shared" ref="S17:S47" ca="1" si="3">IF(B17="","",IF(ISERROR(MATCH($E17,CL,0)),"Unknown",INDIRECT("'C'!$A$"&amp;MATCH($E17,CL,0)+1)))</f>
        <v>CN</v>
      </c>
      <c r="T17" s="222" t="str">
        <f ca="1">IF(B17="","",IF(ISERROR(MATCH($J17,SorP!$B$1:$B$6230,0)),"",INDIRECT("'SorP'!$A$"&amp;MATCH($J17,SorP!$B$1:$B$6230,0))))</f>
        <v>CN-YN</v>
      </c>
      <c r="U17" s="238"/>
      <c r="V17" s="270">
        <f>IF(C17="",NA(),MATCH($B17&amp;$C17,'Smelter Look-up'!$J:$J,0))</f>
        <v>427</v>
      </c>
      <c r="W17" s="271"/>
      <c r="X17" s="271">
        <f t="shared" ref="X17:X47" si="4">IF(AND(C17="Smelter not listed",OR(LEN(D17)=0,LEN(E17)=0)),1,0)</f>
        <v>0</v>
      </c>
      <c r="Y17" s="271"/>
      <c r="Z17" s="271"/>
      <c r="AB17" s="273" t="str">
        <f t="shared" ref="AB17:AB47" si="5">B17&amp;C17</f>
        <v>TinGejiu Kai Meng Industry and Trade LLC</v>
      </c>
    </row>
    <row r="18" spans="1:28" s="272" customFormat="1" ht="79.5" customHeight="1">
      <c r="A18" s="363" t="s">
        <v>657</v>
      </c>
      <c r="B18" s="355" t="s">
        <v>1130</v>
      </c>
      <c r="C18" s="356" t="s">
        <v>625</v>
      </c>
      <c r="D18" s="357"/>
      <c r="E18" s="355" t="s">
        <v>15680</v>
      </c>
      <c r="F18" s="355" t="s">
        <v>657</v>
      </c>
      <c r="G18" s="355" t="s">
        <v>13459</v>
      </c>
      <c r="H18" s="358" t="s">
        <v>15681</v>
      </c>
      <c r="I18" s="359" t="s">
        <v>1562</v>
      </c>
      <c r="J18" s="359" t="s">
        <v>11478</v>
      </c>
      <c r="K18" s="360" t="s">
        <v>15682</v>
      </c>
      <c r="L18" s="360" t="s">
        <v>15683</v>
      </c>
      <c r="M18" s="360"/>
      <c r="N18" s="360"/>
      <c r="O18" s="360" t="s">
        <v>15684</v>
      </c>
      <c r="P18" s="361"/>
      <c r="Q18" s="362"/>
      <c r="R18" s="215" t="str">
        <f ca="1">IF(ISERROR($V18),"",OFFSET('Smelter Look-up'!$C$4,$V18-4,0)&amp;"")</f>
        <v>Atasay Kuyumculuk Sanayi Ve Ticaret A.S.</v>
      </c>
      <c r="S18" s="222" t="str">
        <f t="shared" ca="1" si="3"/>
        <v>TR</v>
      </c>
      <c r="T18" s="222" t="str">
        <f ca="1">IF(B18="","",IF(ISERROR(MATCH($J18,SorP!$B$1:$B$6230,0)),"",INDIRECT("'SorP'!$A$"&amp;MATCH($J18,SorP!$B$1:$B$6230,0))))</f>
        <v>TR-34</v>
      </c>
      <c r="U18" s="238"/>
      <c r="V18" s="270">
        <f>IF(C18="",NA(),MATCH($B18&amp;$C18,'Smelter Look-up'!$J:$J,0))</f>
        <v>31</v>
      </c>
      <c r="W18" s="271"/>
      <c r="X18" s="271">
        <f t="shared" si="4"/>
        <v>0</v>
      </c>
      <c r="Y18" s="271"/>
      <c r="Z18" s="271"/>
      <c r="AB18" s="273" t="str">
        <f t="shared" si="5"/>
        <v>GoldAtasay Kuyumculuk Sanayi Ve Ticaret A.S.</v>
      </c>
    </row>
    <row r="19" spans="1:28" s="272" customFormat="1" ht="63.75">
      <c r="A19" s="363" t="s">
        <v>793</v>
      </c>
      <c r="B19" s="355" t="s">
        <v>1133</v>
      </c>
      <c r="C19" s="356" t="s">
        <v>148</v>
      </c>
      <c r="D19" s="357"/>
      <c r="E19" s="355" t="s">
        <v>15631</v>
      </c>
      <c r="F19" s="355" t="s">
        <v>793</v>
      </c>
      <c r="G19" s="355" t="s">
        <v>13459</v>
      </c>
      <c r="H19" s="358" t="s">
        <v>15685</v>
      </c>
      <c r="I19" s="359" t="s">
        <v>1837</v>
      </c>
      <c r="J19" s="359" t="s">
        <v>1838</v>
      </c>
      <c r="K19" s="360" t="s">
        <v>15686</v>
      </c>
      <c r="L19" s="360" t="s">
        <v>15687</v>
      </c>
      <c r="M19" s="360"/>
      <c r="N19" s="360"/>
      <c r="O19" s="360" t="s">
        <v>15688</v>
      </c>
      <c r="P19" s="361"/>
      <c r="Q19" s="362"/>
      <c r="R19" s="215" t="str">
        <f ca="1">IF(ISERROR($V19),"",OFFSET('Smelter Look-up'!$C$4,$V19-4,0)&amp;"")</f>
        <v>Kennametal Huntsville</v>
      </c>
      <c r="S19" s="222" t="str">
        <f t="shared" ca="1" si="3"/>
        <v>US</v>
      </c>
      <c r="T19" s="222" t="str">
        <f ca="1">IF(B19="","",IF(ISERROR(MATCH($J19,SorP!$B$1:$B$6230,0)),"",INDIRECT("'SorP'!$A$"&amp;MATCH($J19,SorP!$B$1:$B$6230,0))))</f>
        <v>US-AL</v>
      </c>
      <c r="U19" s="238"/>
      <c r="V19" s="270">
        <f>IF(C19="",NA(),MATCH($B19&amp;$C19,'Smelter Look-up'!$J:$J,0))</f>
        <v>583</v>
      </c>
      <c r="W19" s="271"/>
      <c r="X19" s="271">
        <f t="shared" si="4"/>
        <v>0</v>
      </c>
      <c r="Y19" s="271"/>
      <c r="Z19" s="271"/>
      <c r="AB19" s="273" t="str">
        <f t="shared" si="5"/>
        <v>TungstenKennametal Huntsville</v>
      </c>
    </row>
    <row r="20" spans="1:28" s="272" customFormat="1" ht="99.75" customHeight="1">
      <c r="A20" s="363" t="s">
        <v>752</v>
      </c>
      <c r="B20" s="355" t="s">
        <v>1132</v>
      </c>
      <c r="C20" s="356" t="s">
        <v>4</v>
      </c>
      <c r="D20" s="357"/>
      <c r="E20" s="355" t="s">
        <v>15646</v>
      </c>
      <c r="F20" s="355" t="s">
        <v>752</v>
      </c>
      <c r="G20" s="355" t="s">
        <v>13459</v>
      </c>
      <c r="H20" s="358" t="s">
        <v>15689</v>
      </c>
      <c r="I20" s="359" t="s">
        <v>1731</v>
      </c>
      <c r="J20" s="359" t="s">
        <v>13842</v>
      </c>
      <c r="K20" s="360" t="s">
        <v>15690</v>
      </c>
      <c r="L20" s="360" t="s">
        <v>15691</v>
      </c>
      <c r="M20" s="360"/>
      <c r="N20" s="360"/>
      <c r="O20" s="360" t="s">
        <v>15692</v>
      </c>
      <c r="P20" s="361"/>
      <c r="Q20" s="362"/>
      <c r="R20" s="215" t="str">
        <f ca="1">IF(ISERROR($V20),"",OFFSET('Smelter Look-up'!$C$4,$V20-4,0)&amp;"")</f>
        <v>JiuJiang JinXin Nonferrous Metals Co., Ltd.</v>
      </c>
      <c r="S20" s="222" t="str">
        <f t="shared" ca="1" si="3"/>
        <v>CN</v>
      </c>
      <c r="T20" s="222" t="str">
        <f ca="1">IF(B20="","",IF(ISERROR(MATCH($J20,SorP!$B$1:$B$6230,0)),"",INDIRECT("'SorP'!$A$"&amp;MATCH($J20,SorP!$B$1:$B$6230,0))))</f>
        <v>CN-JX</v>
      </c>
      <c r="U20" s="238"/>
      <c r="V20" s="270">
        <f>IF(C20="",NA(),MATCH($B20&amp;$C20,'Smelter Look-up'!$J:$J,0))</f>
        <v>335</v>
      </c>
      <c r="W20" s="271"/>
      <c r="X20" s="271">
        <f t="shared" si="4"/>
        <v>0</v>
      </c>
      <c r="Y20" s="271"/>
      <c r="Z20" s="271"/>
      <c r="AB20" s="273" t="str">
        <f t="shared" si="5"/>
        <v>TantalumJiuJiang JinXin Nonferrous Metals Co., Ltd.</v>
      </c>
    </row>
    <row r="21" spans="1:28" s="272" customFormat="1" ht="111" customHeight="1">
      <c r="A21" s="363" t="s">
        <v>753</v>
      </c>
      <c r="B21" s="355" t="s">
        <v>1132</v>
      </c>
      <c r="C21" s="356" t="s">
        <v>46</v>
      </c>
      <c r="D21" s="357"/>
      <c r="E21" s="355" t="s">
        <v>15646</v>
      </c>
      <c r="F21" s="355" t="s">
        <v>753</v>
      </c>
      <c r="G21" s="355" t="s">
        <v>13459</v>
      </c>
      <c r="H21" s="358" t="s">
        <v>15693</v>
      </c>
      <c r="I21" s="359" t="s">
        <v>1731</v>
      </c>
      <c r="J21" s="359" t="s">
        <v>13842</v>
      </c>
      <c r="K21" s="360" t="s">
        <v>15694</v>
      </c>
      <c r="L21" s="360" t="s">
        <v>15695</v>
      </c>
      <c r="M21" s="360"/>
      <c r="N21" s="360"/>
      <c r="O21" s="360" t="s">
        <v>15696</v>
      </c>
      <c r="P21" s="361"/>
      <c r="Q21" s="362"/>
      <c r="R21" s="215" t="str">
        <f ca="1">IF(ISERROR($V21),"",OFFSET('Smelter Look-up'!$C$4,$V21-4,0)&amp;"")</f>
        <v>Jiujiang Tanbre Co., Ltd.</v>
      </c>
      <c r="S21" s="222" t="str">
        <f t="shared" ca="1" si="3"/>
        <v>CN</v>
      </c>
      <c r="T21" s="222" t="str">
        <f ca="1">IF(B21="","",IF(ISERROR(MATCH($J21,SorP!$B$1:$B$6230,0)),"",INDIRECT("'SorP'!$A$"&amp;MATCH($J21,SorP!$B$1:$B$6230,0))))</f>
        <v>CN-JX</v>
      </c>
      <c r="U21" s="238"/>
      <c r="V21" s="270">
        <f>IF(C21="",NA(),MATCH($B21&amp;$C21,'Smelter Look-up'!$J:$J,0))</f>
        <v>337</v>
      </c>
      <c r="W21" s="271"/>
      <c r="X21" s="271">
        <f t="shared" si="4"/>
        <v>0</v>
      </c>
      <c r="Y21" s="271"/>
      <c r="Z21" s="271"/>
      <c r="AB21" s="273" t="str">
        <f t="shared" si="5"/>
        <v>TantalumJiujiang Tanbre Co., Ltd.</v>
      </c>
    </row>
    <row r="22" spans="1:28" s="272" customFormat="1" ht="102">
      <c r="A22" s="363" t="s">
        <v>690</v>
      </c>
      <c r="B22" s="355" t="s">
        <v>1130</v>
      </c>
      <c r="C22" s="356" t="s">
        <v>909</v>
      </c>
      <c r="D22" s="357"/>
      <c r="E22" s="355" t="s">
        <v>15697</v>
      </c>
      <c r="F22" s="355" t="s">
        <v>690</v>
      </c>
      <c r="G22" s="355" t="s">
        <v>13459</v>
      </c>
      <c r="H22" s="358" t="s">
        <v>15698</v>
      </c>
      <c r="I22" s="359" t="s">
        <v>1611</v>
      </c>
      <c r="J22" s="359" t="s">
        <v>10153</v>
      </c>
      <c r="K22" s="360" t="s">
        <v>15625</v>
      </c>
      <c r="L22" s="360" t="s">
        <v>15699</v>
      </c>
      <c r="M22" s="360"/>
      <c r="N22" s="360"/>
      <c r="O22" s="360" t="s">
        <v>15700</v>
      </c>
      <c r="P22" s="361"/>
      <c r="Q22" s="362"/>
      <c r="R22" s="215" t="str">
        <f ca="1">IF(ISERROR($V22),"",OFFSET('Smelter Look-up'!$C$4,$V22-4,0)&amp;"")</f>
        <v>JSC Ekaterinburg Non-Ferrous Metal Processing Plant</v>
      </c>
      <c r="S22" s="222" t="str">
        <f t="shared" ca="1" si="3"/>
        <v>RU</v>
      </c>
      <c r="T22" s="222" t="str">
        <f ca="1">IF(B22="","",IF(ISERROR(MATCH($J22,SorP!$B$1:$B$6230,0)),"",INDIRECT("'SorP'!$A$"&amp;MATCH($J22,SorP!$B$1:$B$6230,0))))</f>
        <v>RU-SVE</v>
      </c>
      <c r="U22" s="238"/>
      <c r="V22" s="270">
        <f>IF(C22="",NA(),MATCH($B22&amp;$C22,'Smelter Look-up'!$J:$J,0))</f>
        <v>125</v>
      </c>
      <c r="W22" s="271"/>
      <c r="X22" s="271">
        <f t="shared" si="4"/>
        <v>0</v>
      </c>
      <c r="Y22" s="271"/>
      <c r="Z22" s="271"/>
      <c r="AB22" s="273" t="str">
        <f t="shared" si="5"/>
        <v>GoldJSC Ekaterinburg Non-Ferrous Metal Processing Plant</v>
      </c>
    </row>
    <row r="23" spans="1:28" s="272" customFormat="1" ht="89.25" customHeight="1">
      <c r="A23" s="363" t="s">
        <v>718</v>
      </c>
      <c r="B23" s="355" t="s">
        <v>1130</v>
      </c>
      <c r="C23" s="356" t="s">
        <v>2339</v>
      </c>
      <c r="D23" s="357"/>
      <c r="E23" s="355" t="s">
        <v>15636</v>
      </c>
      <c r="F23" s="355" t="s">
        <v>718</v>
      </c>
      <c r="G23" s="355" t="s">
        <v>13459</v>
      </c>
      <c r="H23" s="358" t="s">
        <v>15701</v>
      </c>
      <c r="I23" s="359" t="s">
        <v>1647</v>
      </c>
      <c r="J23" s="359" t="s">
        <v>1556</v>
      </c>
      <c r="K23" s="360" t="s">
        <v>15702</v>
      </c>
      <c r="L23" s="360" t="s">
        <v>15703</v>
      </c>
      <c r="M23" s="360"/>
      <c r="N23" s="360"/>
      <c r="O23" s="360" t="s">
        <v>15704</v>
      </c>
      <c r="P23" s="361"/>
      <c r="Q23" s="362"/>
      <c r="R23" s="215" t="str">
        <f ca="1">IF(ISERROR($V23),"",OFFSET('Smelter Look-up'!$C$4,$V23-4,0)&amp;"")</f>
        <v>PAMP S.A.</v>
      </c>
      <c r="S23" s="222" t="str">
        <f t="shared" ca="1" si="3"/>
        <v>CH</v>
      </c>
      <c r="T23" s="222" t="str">
        <f ca="1">IF(B23="","",IF(ISERROR(MATCH($J23,SorP!$B$1:$B$6230,0)),"",INDIRECT("'SorP'!$A$"&amp;MATCH($J23,SorP!$B$1:$B$6230,0))))</f>
        <v>CH-TI</v>
      </c>
      <c r="U23" s="238"/>
      <c r="V23" s="270">
        <f>IF(C23="",NA(),MATCH($B23&amp;$C23,'Smelter Look-up'!$J:$J,0))</f>
        <v>197</v>
      </c>
      <c r="W23" s="271"/>
      <c r="X23" s="271">
        <f t="shared" si="4"/>
        <v>0</v>
      </c>
      <c r="Y23" s="271"/>
      <c r="Z23" s="271"/>
      <c r="AB23" s="273" t="str">
        <f t="shared" si="5"/>
        <v>GoldPAMP S.A.</v>
      </c>
    </row>
    <row r="24" spans="1:28" s="272" customFormat="1" ht="38.25">
      <c r="A24" s="363" t="s">
        <v>792</v>
      </c>
      <c r="B24" s="355" t="s">
        <v>1133</v>
      </c>
      <c r="C24" s="356" t="s">
        <v>14037</v>
      </c>
      <c r="D24" s="357"/>
      <c r="E24" s="355" t="s">
        <v>15641</v>
      </c>
      <c r="F24" s="355" t="s">
        <v>792</v>
      </c>
      <c r="G24" s="355" t="s">
        <v>13459</v>
      </c>
      <c r="H24" s="358" t="s">
        <v>15705</v>
      </c>
      <c r="I24" s="359" t="s">
        <v>2148</v>
      </c>
      <c r="J24" s="359" t="s">
        <v>2149</v>
      </c>
      <c r="K24" s="360" t="s">
        <v>15706</v>
      </c>
      <c r="L24" s="360" t="s">
        <v>15707</v>
      </c>
      <c r="M24" s="360"/>
      <c r="N24" s="360"/>
      <c r="O24" s="360" t="s">
        <v>15708</v>
      </c>
      <c r="P24" s="361"/>
      <c r="Q24" s="362"/>
      <c r="R24" s="215" t="str">
        <f ca="1">IF(ISERROR($V24),"",OFFSET('Smelter Look-up'!$C$4,$V24-4,0)&amp;"")</f>
        <v>A.L.M.T. Corp.</v>
      </c>
      <c r="S24" s="222" t="str">
        <f t="shared" ca="1" si="3"/>
        <v>JP</v>
      </c>
      <c r="T24" s="222" t="str">
        <f ca="1">IF(B24="","",IF(ISERROR(MATCH($J24,SorP!$B$1:$B$6230,0)),"",INDIRECT("'SorP'!$A$"&amp;MATCH($J24,SorP!$B$1:$B$6230,0))))</f>
        <v>JP-16</v>
      </c>
      <c r="U24" s="238"/>
      <c r="V24" s="270">
        <f>IF(C24="",NA(),MATCH($B24&amp;$C24,'Smelter Look-up'!$J:$J,0))</f>
        <v>533</v>
      </c>
      <c r="W24" s="271"/>
      <c r="X24" s="271">
        <f t="shared" si="4"/>
        <v>0</v>
      </c>
      <c r="Y24" s="271"/>
      <c r="Z24" s="271"/>
      <c r="AB24" s="273" t="str">
        <f t="shared" si="5"/>
        <v>TungstenA.L.M.T. Corp.</v>
      </c>
    </row>
    <row r="25" spans="1:28" s="272" customFormat="1" ht="70.5" customHeight="1">
      <c r="A25" s="363" t="s">
        <v>14040</v>
      </c>
      <c r="B25" s="355" t="s">
        <v>1133</v>
      </c>
      <c r="C25" s="356" t="s">
        <v>14038</v>
      </c>
      <c r="D25" s="357"/>
      <c r="E25" s="355" t="s">
        <v>15646</v>
      </c>
      <c r="F25" s="355" t="s">
        <v>14040</v>
      </c>
      <c r="G25" s="355" t="s">
        <v>13459</v>
      </c>
      <c r="H25" s="358" t="s">
        <v>15709</v>
      </c>
      <c r="I25" s="359" t="s">
        <v>1622</v>
      </c>
      <c r="J25" s="359" t="s">
        <v>13846</v>
      </c>
      <c r="K25" s="360" t="s">
        <v>15710</v>
      </c>
      <c r="L25" s="360" t="s">
        <v>15711</v>
      </c>
      <c r="M25" s="360"/>
      <c r="N25" s="360"/>
      <c r="O25" s="360" t="s">
        <v>15712</v>
      </c>
      <c r="P25" s="361"/>
      <c r="Q25" s="362"/>
      <c r="R25" s="215" t="str">
        <f ca="1">IF(ISERROR($V25),"",OFFSET('Smelter Look-up'!$C$4,$V25-4,0)&amp;"")</f>
        <v>China Molybdenum Tungsten Co., Ltd.</v>
      </c>
      <c r="S25" s="222" t="str">
        <f t="shared" ca="1" si="3"/>
        <v>CN</v>
      </c>
      <c r="T25" s="222" t="str">
        <f ca="1">IF(B25="","",IF(ISERROR(MATCH($J25,SorP!$B$1:$B$6230,0)),"",INDIRECT("'SorP'!$A$"&amp;MATCH($J25,SorP!$B$1:$B$6230,0))))</f>
        <v>CN-HN</v>
      </c>
      <c r="U25" s="238"/>
      <c r="V25" s="270">
        <f>IF(C25="",NA(),MATCH($B25&amp;$C25,'Smelter Look-up'!$J:$J,0))</f>
        <v>546</v>
      </c>
      <c r="W25" s="271"/>
      <c r="X25" s="271">
        <f t="shared" si="4"/>
        <v>0</v>
      </c>
      <c r="Y25" s="271"/>
      <c r="Z25" s="271"/>
      <c r="AB25" s="273" t="str">
        <f t="shared" si="5"/>
        <v>TungstenChina Molybdenum Co., Ltd.</v>
      </c>
    </row>
    <row r="26" spans="1:28" s="272" customFormat="1" ht="63.75">
      <c r="A26" s="363" t="s">
        <v>2557</v>
      </c>
      <c r="B26" s="355" t="s">
        <v>1132</v>
      </c>
      <c r="C26" s="356" t="s">
        <v>2157</v>
      </c>
      <c r="D26" s="357"/>
      <c r="E26" s="355" t="s">
        <v>15641</v>
      </c>
      <c r="F26" s="355" t="s">
        <v>2557</v>
      </c>
      <c r="G26" s="355" t="s">
        <v>13459</v>
      </c>
      <c r="H26" s="358" t="s">
        <v>15642</v>
      </c>
      <c r="I26" s="359" t="s">
        <v>1560</v>
      </c>
      <c r="J26" s="359" t="s">
        <v>1561</v>
      </c>
      <c r="K26" s="360" t="s">
        <v>15643</v>
      </c>
      <c r="L26" s="360" t="s">
        <v>15644</v>
      </c>
      <c r="M26" s="360"/>
      <c r="N26" s="360"/>
      <c r="O26" s="360" t="s">
        <v>15713</v>
      </c>
      <c r="P26" s="361"/>
      <c r="Q26" s="362"/>
      <c r="R26" s="215" t="str">
        <f ca="1">IF(ISERROR($V26),"",OFFSET('Smelter Look-up'!$C$4,$V26-4,0)&amp;"")</f>
        <v>Asaka Riken Co., Ltd.</v>
      </c>
      <c r="S26" s="222" t="str">
        <f t="shared" ca="1" si="3"/>
        <v>JP</v>
      </c>
      <c r="T26" s="222" t="str">
        <f ca="1">IF(B26="","",IF(ISERROR(MATCH($J26,SorP!$B$1:$B$6230,0)),"",INDIRECT("'SorP'!$A$"&amp;MATCH($J26,SorP!$B$1:$B$6230,0))))</f>
        <v>JP-07</v>
      </c>
      <c r="U26" s="238"/>
      <c r="V26" s="270">
        <f>IF(C26="",NA(),MATCH($B26&amp;$C26,'Smelter Look-up'!$J:$J,0))</f>
        <v>315</v>
      </c>
      <c r="W26" s="271"/>
      <c r="X26" s="271">
        <f t="shared" si="4"/>
        <v>0</v>
      </c>
      <c r="Y26" s="271"/>
      <c r="Z26" s="271"/>
      <c r="AB26" s="273" t="str">
        <f t="shared" si="5"/>
        <v>TantalumAsaka Riken Co., Ltd.</v>
      </c>
    </row>
    <row r="27" spans="1:28" s="272" customFormat="1" ht="81" customHeight="1">
      <c r="A27" s="363" t="s">
        <v>716</v>
      </c>
      <c r="B27" s="355" t="s">
        <v>1130</v>
      </c>
      <c r="C27" s="356" t="s">
        <v>2171</v>
      </c>
      <c r="D27" s="357"/>
      <c r="E27" s="355" t="s">
        <v>15641</v>
      </c>
      <c r="F27" s="355" t="s">
        <v>716</v>
      </c>
      <c r="G27" s="355" t="s">
        <v>13459</v>
      </c>
      <c r="H27" s="358" t="s">
        <v>15714</v>
      </c>
      <c r="I27" s="359" t="s">
        <v>1643</v>
      </c>
      <c r="J27" s="359" t="s">
        <v>1644</v>
      </c>
      <c r="K27" s="360" t="s">
        <v>15715</v>
      </c>
      <c r="L27" s="360" t="s">
        <v>15716</v>
      </c>
      <c r="M27" s="360"/>
      <c r="N27" s="360"/>
      <c r="O27" s="360" t="s">
        <v>15717</v>
      </c>
      <c r="P27" s="361"/>
      <c r="Q27" s="362"/>
      <c r="R27" s="215" t="str">
        <f ca="1">IF(ISERROR($V27),"",OFFSET('Smelter Look-up'!$C$4,$V27-4,0)&amp;"")</f>
        <v>Ohura Precious Metal Industry Co., Ltd.</v>
      </c>
      <c r="S27" s="222" t="str">
        <f t="shared" ca="1" si="3"/>
        <v>JP</v>
      </c>
      <c r="T27" s="222" t="str">
        <f ca="1">IF(B27="","",IF(ISERROR(MATCH($J27,SorP!$B$1:$B$6230,0)),"",INDIRECT("'SorP'!$A$"&amp;MATCH($J27,SorP!$B$1:$B$6230,0))))</f>
        <v>JP-29</v>
      </c>
      <c r="U27" s="238"/>
      <c r="V27" s="270">
        <f>IF(C27="",NA(),MATCH($B27&amp;$C27,'Smelter Look-up'!$J:$J,0))</f>
        <v>193</v>
      </c>
      <c r="W27" s="271"/>
      <c r="X27" s="271">
        <f t="shared" si="4"/>
        <v>0</v>
      </c>
      <c r="Y27" s="271"/>
      <c r="Z27" s="271"/>
      <c r="AB27" s="273" t="str">
        <f t="shared" si="5"/>
        <v>GoldOhura Precious Metal Industry Co., Ltd.</v>
      </c>
    </row>
    <row r="28" spans="1:28" s="272" customFormat="1" ht="111" customHeight="1">
      <c r="A28" s="363" t="s">
        <v>717</v>
      </c>
      <c r="B28" s="355" t="s">
        <v>1130</v>
      </c>
      <c r="C28" s="356" t="s">
        <v>2276</v>
      </c>
      <c r="D28" s="357"/>
      <c r="E28" s="355" t="s">
        <v>15697</v>
      </c>
      <c r="F28" s="355" t="s">
        <v>717</v>
      </c>
      <c r="G28" s="355" t="s">
        <v>13459</v>
      </c>
      <c r="H28" s="358" t="s">
        <v>15718</v>
      </c>
      <c r="I28" s="359" t="s">
        <v>1645</v>
      </c>
      <c r="J28" s="359" t="s">
        <v>10245</v>
      </c>
      <c r="K28" s="360" t="s">
        <v>15719</v>
      </c>
      <c r="L28" s="360" t="s">
        <v>15720</v>
      </c>
      <c r="M28" s="360"/>
      <c r="N28" s="360"/>
      <c r="O28" s="360" t="s">
        <v>15721</v>
      </c>
      <c r="P28" s="361"/>
      <c r="Q28" s="362"/>
      <c r="R28" s="215" t="str">
        <f ca="1">IF(ISERROR($V28),"",OFFSET('Smelter Look-up'!$C$4,$V28-4,0)&amp;"")</f>
        <v>OJSC "The Gulidov Krasnoyarsk Non-Ferrous Metals Plant" (OJSC Krastsvetmet)</v>
      </c>
      <c r="S28" s="222" t="str">
        <f t="shared" ca="1" si="3"/>
        <v>RU</v>
      </c>
      <c r="T28" s="222" t="str">
        <f ca="1">IF(B28="","",IF(ISERROR(MATCH($J28,SorP!$B$1:$B$6230,0)),"",INDIRECT("'SorP'!$A$"&amp;MATCH($J28,SorP!$B$1:$B$6230,0))))</f>
        <v>RU-KYA</v>
      </c>
      <c r="U28" s="238"/>
      <c r="V28" s="270">
        <f>IF(C28="",NA(),MATCH($B28&amp;$C28,'Smelter Look-up'!$J:$J,0))</f>
        <v>194</v>
      </c>
      <c r="W28" s="271"/>
      <c r="X28" s="271">
        <f t="shared" si="4"/>
        <v>0</v>
      </c>
      <c r="Y28" s="271"/>
      <c r="Z28" s="271"/>
      <c r="AB28" s="273" t="str">
        <f t="shared" si="5"/>
        <v>GoldOJSC "The Gulidov Krasnoyarsk Non-Ferrous Metals Plant" (OJSC Krastsvetmet)</v>
      </c>
    </row>
    <row r="29" spans="1:28" s="272" customFormat="1" ht="51">
      <c r="A29" s="363" t="s">
        <v>693</v>
      </c>
      <c r="B29" s="355" t="s">
        <v>1130</v>
      </c>
      <c r="C29" s="356" t="s">
        <v>1612</v>
      </c>
      <c r="D29" s="357"/>
      <c r="E29" s="355" t="s">
        <v>15722</v>
      </c>
      <c r="F29" s="355" t="s">
        <v>693</v>
      </c>
      <c r="G29" s="355" t="s">
        <v>13459</v>
      </c>
      <c r="H29" s="358" t="s">
        <v>15723</v>
      </c>
      <c r="I29" s="359" t="s">
        <v>1613</v>
      </c>
      <c r="J29" s="359" t="s">
        <v>7164</v>
      </c>
      <c r="K29" s="360" t="s">
        <v>15625</v>
      </c>
      <c r="L29" s="360" t="s">
        <v>15724</v>
      </c>
      <c r="M29" s="360"/>
      <c r="N29" s="360"/>
      <c r="O29" s="360" t="s">
        <v>15725</v>
      </c>
      <c r="P29" s="361"/>
      <c r="Q29" s="362"/>
      <c r="R29" s="215" t="str">
        <f ca="1">IF(ISERROR($V29),"",OFFSET('Smelter Look-up'!$C$4,$V29-4,0)&amp;"")</f>
        <v>Kazzinc</v>
      </c>
      <c r="S29" s="222" t="str">
        <f t="shared" ca="1" si="3"/>
        <v>KZ</v>
      </c>
      <c r="T29" s="222" t="str">
        <f ca="1">IF(B29="","",IF(ISERROR(MATCH($J29,SorP!$B$1:$B$6230,0)),"",INDIRECT("'SorP'!$A$"&amp;MATCH($J29,SorP!$B$1:$B$6230,0))))</f>
        <v>KZ-KAR</v>
      </c>
      <c r="U29" s="238"/>
      <c r="V29" s="270">
        <f>IF(C29="",NA(),MATCH($B29&amp;$C29,'Smelter Look-up'!$J:$J,0))</f>
        <v>132</v>
      </c>
      <c r="W29" s="271"/>
      <c r="X29" s="271">
        <f t="shared" si="4"/>
        <v>0</v>
      </c>
      <c r="Y29" s="271"/>
      <c r="Z29" s="271"/>
      <c r="AB29" s="273" t="str">
        <f t="shared" si="5"/>
        <v>GoldKazzinc</v>
      </c>
    </row>
    <row r="30" spans="1:28" s="272" customFormat="1" ht="89.25">
      <c r="A30" s="363" t="s">
        <v>719</v>
      </c>
      <c r="B30" s="355" t="s">
        <v>1130</v>
      </c>
      <c r="C30" s="356" t="s">
        <v>2172</v>
      </c>
      <c r="D30" s="357"/>
      <c r="E30" s="355" t="s">
        <v>15646</v>
      </c>
      <c r="F30" s="355" t="s">
        <v>719</v>
      </c>
      <c r="G30" s="355" t="s">
        <v>13459</v>
      </c>
      <c r="H30" s="358" t="s">
        <v>15726</v>
      </c>
      <c r="I30" s="359" t="s">
        <v>2509</v>
      </c>
      <c r="J30" s="359" t="s">
        <v>13843</v>
      </c>
      <c r="K30" s="360" t="s">
        <v>15727</v>
      </c>
      <c r="L30" s="360" t="s">
        <v>15728</v>
      </c>
      <c r="M30" s="360"/>
      <c r="N30" s="360"/>
      <c r="O30" s="360" t="s">
        <v>15729</v>
      </c>
      <c r="P30" s="361"/>
      <c r="Q30" s="362"/>
      <c r="R30" s="215" t="str">
        <f ca="1">IF(ISERROR($V30),"",OFFSET('Smelter Look-up'!$C$4,$V30-4,0)&amp;"")</f>
        <v>Penglai Penggang Gold Industry Co., Ltd.</v>
      </c>
      <c r="S30" s="222" t="str">
        <f t="shared" ca="1" si="3"/>
        <v>CN</v>
      </c>
      <c r="T30" s="222" t="str">
        <f ca="1">IF(B30="","",IF(ISERROR(MATCH($J30,SorP!$B$1:$B$6230,0)),"",INDIRECT("'SorP'!$A$"&amp;MATCH($J30,SorP!$B$1:$B$6230,0))))</f>
        <v>CN-SD</v>
      </c>
      <c r="U30" s="238"/>
      <c r="V30" s="270">
        <f>IF(C30="",NA(),MATCH($B30&amp;$C30,'Smelter Look-up'!$J:$J,0))</f>
        <v>200</v>
      </c>
      <c r="W30" s="271"/>
      <c r="X30" s="271">
        <f t="shared" si="4"/>
        <v>0</v>
      </c>
      <c r="Y30" s="271"/>
      <c r="Z30" s="271"/>
      <c r="AB30" s="273" t="str">
        <f t="shared" si="5"/>
        <v>GoldPenglai Penggang Gold Industry Co., Ltd.</v>
      </c>
    </row>
    <row r="31" spans="1:28" s="272" customFormat="1" ht="63.75">
      <c r="A31" s="363" t="s">
        <v>735</v>
      </c>
      <c r="B31" s="355" t="s">
        <v>1130</v>
      </c>
      <c r="C31" s="356" t="s">
        <v>2180</v>
      </c>
      <c r="D31" s="357"/>
      <c r="E31" s="355" t="s">
        <v>15641</v>
      </c>
      <c r="F31" s="355" t="s">
        <v>735</v>
      </c>
      <c r="G31" s="355" t="s">
        <v>13459</v>
      </c>
      <c r="H31" s="358" t="s">
        <v>15730</v>
      </c>
      <c r="I31" s="359" t="s">
        <v>1678</v>
      </c>
      <c r="J31" s="359" t="s">
        <v>1587</v>
      </c>
      <c r="K31" s="360" t="s">
        <v>15731</v>
      </c>
      <c r="L31" s="360" t="s">
        <v>15732</v>
      </c>
      <c r="M31" s="360"/>
      <c r="N31" s="360"/>
      <c r="O31" s="360" t="s">
        <v>15733</v>
      </c>
      <c r="P31" s="361"/>
      <c r="Q31" s="362"/>
      <c r="R31" s="215" t="str">
        <f ca="1">IF(ISERROR($V31),"",OFFSET('Smelter Look-up'!$C$4,$V31-4,0)&amp;"")</f>
        <v>Tokuriki Honten Co., Ltd.</v>
      </c>
      <c r="S31" s="222" t="str">
        <f t="shared" ca="1" si="3"/>
        <v>JP</v>
      </c>
      <c r="T31" s="222" t="str">
        <f ca="1">IF(B31="","",IF(ISERROR(MATCH($J31,SorP!$B$1:$B$6230,0)),"",INDIRECT("'SorP'!$A$"&amp;MATCH($J31,SorP!$B$1:$B$6230,0))))</f>
        <v>JP-11</v>
      </c>
      <c r="U31" s="238"/>
      <c r="V31" s="270">
        <f>IF(C31="",NA(),MATCH($B31&amp;$C31,'Smelter Look-up'!$J:$J,0))</f>
        <v>276</v>
      </c>
      <c r="W31" s="271"/>
      <c r="X31" s="271">
        <f t="shared" si="4"/>
        <v>0</v>
      </c>
      <c r="Y31" s="271"/>
      <c r="Z31" s="271"/>
      <c r="AB31" s="273" t="str">
        <f t="shared" si="5"/>
        <v>GoldTokuriki Honten Co., Ltd.</v>
      </c>
    </row>
    <row r="32" spans="1:28" s="272" customFormat="1" ht="63.75">
      <c r="A32" s="363" t="s">
        <v>780</v>
      </c>
      <c r="B32" s="355" t="s">
        <v>1131</v>
      </c>
      <c r="C32" s="356" t="s">
        <v>14029</v>
      </c>
      <c r="D32" s="357"/>
      <c r="E32" s="355" t="s">
        <v>15734</v>
      </c>
      <c r="F32" s="355" t="s">
        <v>780</v>
      </c>
      <c r="G32" s="355" t="s">
        <v>13459</v>
      </c>
      <c r="H32" s="358" t="s">
        <v>15735</v>
      </c>
      <c r="I32" s="359" t="s">
        <v>1782</v>
      </c>
      <c r="J32" s="359" t="s">
        <v>1782</v>
      </c>
      <c r="K32" s="360" t="s">
        <v>15736</v>
      </c>
      <c r="L32" s="360" t="s">
        <v>15737</v>
      </c>
      <c r="M32" s="360"/>
      <c r="N32" s="360"/>
      <c r="O32" s="360" t="s">
        <v>15738</v>
      </c>
      <c r="P32" s="361"/>
      <c r="Q32" s="362"/>
      <c r="R32" s="215" t="str">
        <f ca="1">IF(ISERROR($V32),"",OFFSET('Smelter Look-up'!$C$4,$V32-4,0)&amp;"")</f>
        <v>Operaciones Metalurgicas S.A.</v>
      </c>
      <c r="S32" s="222" t="str">
        <f t="shared" ca="1" si="3"/>
        <v>BO</v>
      </c>
      <c r="T32" s="222" t="str">
        <f ca="1">IF(B32="","",IF(ISERROR(MATCH($J32,SorP!$B$1:$B$6230,0)),"",INDIRECT("'SorP'!$A$"&amp;MATCH($J32,SorP!$B$1:$B$6230,0))))</f>
        <v>BO-O</v>
      </c>
      <c r="U32" s="238"/>
      <c r="V32" s="270">
        <f>IF(C32="",NA(),MATCH($B32&amp;$C32,'Smelter Look-up'!$J:$J,0))</f>
        <v>471</v>
      </c>
      <c r="W32" s="271"/>
      <c r="X32" s="271">
        <f t="shared" si="4"/>
        <v>0</v>
      </c>
      <c r="Y32" s="271"/>
      <c r="Z32" s="271"/>
      <c r="AB32" s="273" t="str">
        <f t="shared" si="5"/>
        <v>TinOperaciones Metalurgicas S.A.</v>
      </c>
    </row>
    <row r="33" spans="1:28" s="272" customFormat="1" ht="76.5">
      <c r="A33" s="363" t="s">
        <v>760</v>
      </c>
      <c r="B33" s="355" t="s">
        <v>1132</v>
      </c>
      <c r="C33" s="356" t="s">
        <v>817</v>
      </c>
      <c r="D33" s="357"/>
      <c r="E33" s="355" t="s">
        <v>15631</v>
      </c>
      <c r="F33" s="355" t="s">
        <v>760</v>
      </c>
      <c r="G33" s="355" t="s">
        <v>13459</v>
      </c>
      <c r="H33" s="358" t="s">
        <v>15739</v>
      </c>
      <c r="I33" s="359" t="s">
        <v>14056</v>
      </c>
      <c r="J33" s="359" t="s">
        <v>2282</v>
      </c>
      <c r="K33" s="360" t="s">
        <v>15740</v>
      </c>
      <c r="L33" s="360" t="s">
        <v>15741</v>
      </c>
      <c r="M33" s="360"/>
      <c r="N33" s="360"/>
      <c r="O33" s="360" t="s">
        <v>15742</v>
      </c>
      <c r="P33" s="361"/>
      <c r="Q33" s="362"/>
      <c r="R33" s="215" t="str">
        <f ca="1">IF(ISERROR($V33),"",OFFSET('Smelter Look-up'!$C$4,$V33-4,0)&amp;"")</f>
        <v>QuantumClean</v>
      </c>
      <c r="S33" s="222" t="str">
        <f t="shared" ca="1" si="3"/>
        <v>US</v>
      </c>
      <c r="T33" s="222" t="str">
        <f ca="1">IF(B33="","",IF(ISERROR(MATCH($J33,SorP!$B$1:$B$6230,0)),"",INDIRECT("'SorP'!$A$"&amp;MATCH($J33,SorP!$B$1:$B$6230,0))))</f>
        <v>US-TX</v>
      </c>
      <c r="U33" s="238"/>
      <c r="V33" s="270">
        <f>IF(C33="",NA(),MATCH($B33&amp;$C33,'Smelter Look-up'!$J:$J,0))</f>
        <v>357</v>
      </c>
      <c r="W33" s="271"/>
      <c r="X33" s="271">
        <f t="shared" si="4"/>
        <v>0</v>
      </c>
      <c r="Y33" s="271"/>
      <c r="Z33" s="271"/>
      <c r="AB33" s="273" t="str">
        <f t="shared" si="5"/>
        <v>TantalumQuantumClean</v>
      </c>
    </row>
    <row r="34" spans="1:28" s="272" customFormat="1" ht="78" customHeight="1">
      <c r="A34" s="363" t="s">
        <v>781</v>
      </c>
      <c r="B34" s="355" t="s">
        <v>1131</v>
      </c>
      <c r="C34" s="356" t="s">
        <v>844</v>
      </c>
      <c r="D34" s="357"/>
      <c r="E34" s="355" t="s">
        <v>15669</v>
      </c>
      <c r="F34" s="355" t="s">
        <v>781</v>
      </c>
      <c r="G34" s="355" t="s">
        <v>13459</v>
      </c>
      <c r="H34" s="358" t="s">
        <v>15743</v>
      </c>
      <c r="I34" s="359" t="s">
        <v>1780</v>
      </c>
      <c r="J34" s="359" t="s">
        <v>13066</v>
      </c>
      <c r="K34" s="360" t="s">
        <v>15744</v>
      </c>
      <c r="L34" s="360" t="s">
        <v>15745</v>
      </c>
      <c r="M34" s="360"/>
      <c r="N34" s="360"/>
      <c r="O34" s="360" t="s">
        <v>15746</v>
      </c>
      <c r="P34" s="361"/>
      <c r="Q34" s="362"/>
      <c r="R34" s="215" t="str">
        <f ca="1">IF(ISERROR($V34),"",OFFSET('Smelter Look-up'!$C$4,$V34-4,0)&amp;"")</f>
        <v>PT Artha Cipta Langgeng</v>
      </c>
      <c r="S34" s="222" t="str">
        <f t="shared" ca="1" si="3"/>
        <v>ID</v>
      </c>
      <c r="T34" s="222" t="str">
        <f ca="1">IF(B34="","",IF(ISERROR(MATCH($J34,SorP!$B$1:$B$6230,0)),"",INDIRECT("'SorP'!$A$"&amp;MATCH($J34,SorP!$B$1:$B$6230,0))))</f>
        <v>ID-BB</v>
      </c>
      <c r="U34" s="238"/>
      <c r="V34" s="270">
        <f>IF(C34="",NA(),MATCH($B34&amp;$C34,'Smelter Look-up'!$J:$J,0))</f>
        <v>476</v>
      </c>
      <c r="W34" s="271"/>
      <c r="X34" s="271">
        <f t="shared" si="4"/>
        <v>0</v>
      </c>
      <c r="Y34" s="271"/>
      <c r="Z34" s="271"/>
      <c r="AB34" s="273" t="str">
        <f t="shared" si="5"/>
        <v>TinPT Artha Cipta Langgeng</v>
      </c>
    </row>
    <row r="35" spans="1:28" s="272" customFormat="1" ht="76.5">
      <c r="A35" s="363" t="s">
        <v>720</v>
      </c>
      <c r="B35" s="355" t="s">
        <v>1130</v>
      </c>
      <c r="C35" s="356" t="s">
        <v>912</v>
      </c>
      <c r="D35" s="357"/>
      <c r="E35" s="355" t="s">
        <v>15697</v>
      </c>
      <c r="F35" s="355" t="s">
        <v>720</v>
      </c>
      <c r="G35" s="355" t="s">
        <v>13459</v>
      </c>
      <c r="H35" s="358" t="s">
        <v>15747</v>
      </c>
      <c r="I35" s="359" t="s">
        <v>1648</v>
      </c>
      <c r="J35" s="359" t="s">
        <v>10105</v>
      </c>
      <c r="K35" s="360" t="s">
        <v>15748</v>
      </c>
      <c r="L35" s="360" t="s">
        <v>15749</v>
      </c>
      <c r="M35" s="360"/>
      <c r="N35" s="360"/>
      <c r="O35" s="360" t="s">
        <v>15750</v>
      </c>
      <c r="P35" s="361"/>
      <c r="Q35" s="362"/>
      <c r="R35" s="215" t="str">
        <f ca="1">IF(ISERROR($V35),"",OFFSET('Smelter Look-up'!$C$4,$V35-4,0)&amp;"")</f>
        <v>Prioksky Plant of Non-Ferrous Metals</v>
      </c>
      <c r="S35" s="222" t="str">
        <f t="shared" ca="1" si="3"/>
        <v>RU</v>
      </c>
      <c r="T35" s="222" t="str">
        <f ca="1">IF(B35="","",IF(ISERROR(MATCH($J35,SorP!$B$1:$B$6230,0)),"",INDIRECT("'SorP'!$A$"&amp;MATCH($J35,SorP!$B$1:$B$6230,0))))</f>
        <v>RU-RYA</v>
      </c>
      <c r="U35" s="238"/>
      <c r="V35" s="270">
        <f>IF(C35="",NA(),MATCH($B35&amp;$C35,'Smelter Look-up'!$J:$J,0))</f>
        <v>204</v>
      </c>
      <c r="W35" s="271"/>
      <c r="X35" s="271">
        <f t="shared" si="4"/>
        <v>0</v>
      </c>
      <c r="Y35" s="271"/>
      <c r="Z35" s="271"/>
      <c r="AB35" s="273" t="str">
        <f t="shared" si="5"/>
        <v>GoldPrioksky Plant of Non-Ferrous Metals</v>
      </c>
    </row>
    <row r="36" spans="1:28" s="272" customFormat="1" ht="51">
      <c r="A36" s="363" t="s">
        <v>737</v>
      </c>
      <c r="B36" s="355" t="s">
        <v>1130</v>
      </c>
      <c r="C36" s="356" t="s">
        <v>610</v>
      </c>
      <c r="D36" s="357"/>
      <c r="E36" s="355" t="s">
        <v>15751</v>
      </c>
      <c r="F36" s="355" t="s">
        <v>737</v>
      </c>
      <c r="G36" s="355" t="s">
        <v>13459</v>
      </c>
      <c r="H36" s="358" t="s">
        <v>15752</v>
      </c>
      <c r="I36" s="359" t="s">
        <v>1682</v>
      </c>
      <c r="J36" s="359" t="s">
        <v>13083</v>
      </c>
      <c r="K36" s="360" t="s">
        <v>15753</v>
      </c>
      <c r="L36" s="360" t="s">
        <v>15754</v>
      </c>
      <c r="M36" s="360"/>
      <c r="N36" s="360"/>
      <c r="O36" s="360" t="s">
        <v>15755</v>
      </c>
      <c r="P36" s="361"/>
      <c r="Q36" s="362"/>
      <c r="R36" s="215" t="str">
        <f ca="1">IF(ISERROR($V36),"",OFFSET('Smelter Look-up'!$C$4,$V36-4,0)&amp;"")</f>
        <v>Torecom</v>
      </c>
      <c r="S36" s="222" t="str">
        <f t="shared" ca="1" si="3"/>
        <v>KR</v>
      </c>
      <c r="T36" s="222" t="str">
        <f ca="1">IF(B36="","",IF(ISERROR(MATCH($J36,SorP!$B$1:$B$6230,0)),"",INDIRECT("'SorP'!$A$"&amp;MATCH($J36,SorP!$B$1:$B$6230,0))))</f>
        <v>KR-44</v>
      </c>
      <c r="U36" s="238"/>
      <c r="V36" s="270">
        <f>IF(C36="",NA(),MATCH($B36&amp;$C36,'Smelter Look-up'!$J:$J,0))</f>
        <v>281</v>
      </c>
      <c r="W36" s="271"/>
      <c r="X36" s="271">
        <f t="shared" si="4"/>
        <v>0</v>
      </c>
      <c r="Y36" s="271"/>
      <c r="Z36" s="271"/>
      <c r="AB36" s="273" t="str">
        <f t="shared" si="5"/>
        <v>GoldTorecom</v>
      </c>
    </row>
    <row r="37" spans="1:28" s="272" customFormat="1" ht="87.75" customHeight="1">
      <c r="A37" s="363" t="s">
        <v>765</v>
      </c>
      <c r="B37" s="355" t="s">
        <v>1132</v>
      </c>
      <c r="C37" s="356" t="s">
        <v>1750</v>
      </c>
      <c r="D37" s="357"/>
      <c r="E37" s="355" t="s">
        <v>15722</v>
      </c>
      <c r="F37" s="355" t="s">
        <v>765</v>
      </c>
      <c r="G37" s="355" t="s">
        <v>13459</v>
      </c>
      <c r="H37" s="358" t="s">
        <v>15756</v>
      </c>
      <c r="I37" s="359" t="s">
        <v>1613</v>
      </c>
      <c r="J37" s="359" t="s">
        <v>7164</v>
      </c>
      <c r="K37" s="360" t="s">
        <v>15757</v>
      </c>
      <c r="L37" s="360" t="s">
        <v>15758</v>
      </c>
      <c r="M37" s="360"/>
      <c r="N37" s="360"/>
      <c r="O37" s="360" t="s">
        <v>15759</v>
      </c>
      <c r="P37" s="361"/>
      <c r="Q37" s="362"/>
      <c r="R37" s="215" t="str">
        <f ca="1">IF(ISERROR($V37),"",OFFSET('Smelter Look-up'!$C$4,$V37-4,0)&amp;"")</f>
        <v>Ulba Metallurgical Plant JSC</v>
      </c>
      <c r="S37" s="222" t="str">
        <f t="shared" ca="1" si="3"/>
        <v>KZ</v>
      </c>
      <c r="T37" s="222" t="str">
        <f ca="1">IF(B37="","",IF(ISERROR(MATCH($J37,SorP!$B$1:$B$6230,0)),"",INDIRECT("'SorP'!$A$"&amp;MATCH($J37,SorP!$B$1:$B$6230,0))))</f>
        <v>KZ-KAR</v>
      </c>
      <c r="U37" s="238"/>
      <c r="V37" s="270">
        <f>IF(C37="",NA(),MATCH($B37&amp;$C37,'Smelter Look-up'!$J:$J,0))</f>
        <v>374</v>
      </c>
      <c r="W37" s="271"/>
      <c r="X37" s="271">
        <f t="shared" si="4"/>
        <v>0</v>
      </c>
      <c r="Y37" s="271"/>
      <c r="Z37" s="271"/>
      <c r="AB37" s="273" t="str">
        <f t="shared" si="5"/>
        <v>TantalumUlba Metallurgical Plant JSC</v>
      </c>
    </row>
    <row r="38" spans="1:28" s="272" customFormat="1" ht="73.5" customHeight="1">
      <c r="A38" s="363" t="s">
        <v>734</v>
      </c>
      <c r="B38" s="355" t="s">
        <v>1130</v>
      </c>
      <c r="C38" s="356" t="s">
        <v>2179</v>
      </c>
      <c r="D38" s="357"/>
      <c r="E38" s="355" t="s">
        <v>15646</v>
      </c>
      <c r="F38" s="355" t="s">
        <v>734</v>
      </c>
      <c r="G38" s="355" t="s">
        <v>13459</v>
      </c>
      <c r="H38" s="358" t="s">
        <v>15760</v>
      </c>
      <c r="I38" s="359" t="s">
        <v>1663</v>
      </c>
      <c r="J38" s="359" t="s">
        <v>13843</v>
      </c>
      <c r="K38" s="360" t="s">
        <v>15761</v>
      </c>
      <c r="L38" s="360" t="s">
        <v>15762</v>
      </c>
      <c r="M38" s="360"/>
      <c r="N38" s="360"/>
      <c r="O38" s="360" t="s">
        <v>15763</v>
      </c>
      <c r="P38" s="361"/>
      <c r="Q38" s="362"/>
      <c r="R38" s="215" t="str">
        <f ca="1">IF(ISERROR($V38),"",OFFSET('Smelter Look-up'!$C$4,$V38-4,0)&amp;"")</f>
        <v>Shandong Gold Smelting Co., Ltd.</v>
      </c>
      <c r="S38" s="222" t="str">
        <f t="shared" ca="1" si="3"/>
        <v>CN</v>
      </c>
      <c r="T38" s="222" t="str">
        <f ca="1">IF(B38="","",IF(ISERROR(MATCH($J38,SorP!$B$1:$B$6230,0)),"",INDIRECT("'SorP'!$A$"&amp;MATCH($J38,SorP!$B$1:$B$6230,0))))</f>
        <v>CN-SD</v>
      </c>
      <c r="U38" s="238"/>
      <c r="V38" s="270">
        <f>IF(C38="",NA(),MATCH($B38&amp;$C38,'Smelter Look-up'!$J:$J,0))</f>
        <v>275</v>
      </c>
      <c r="W38" s="271"/>
      <c r="X38" s="271">
        <f t="shared" si="4"/>
        <v>0</v>
      </c>
      <c r="Y38" s="271"/>
      <c r="Z38" s="271"/>
      <c r="AB38" s="273" t="str">
        <f t="shared" si="5"/>
        <v>GoldThe Refinery of Shandong Gold Mining Co., Ltd.</v>
      </c>
    </row>
    <row r="39" spans="1:28" s="272" customFormat="1" ht="57.75" customHeight="1">
      <c r="A39" s="363" t="s">
        <v>739</v>
      </c>
      <c r="B39" s="355" t="s">
        <v>1130</v>
      </c>
      <c r="C39" s="356" t="s">
        <v>820</v>
      </c>
      <c r="D39" s="357"/>
      <c r="E39" s="355" t="s">
        <v>15631</v>
      </c>
      <c r="F39" s="355" t="s">
        <v>739</v>
      </c>
      <c r="G39" s="355" t="s">
        <v>13459</v>
      </c>
      <c r="H39" s="358" t="s">
        <v>15764</v>
      </c>
      <c r="I39" s="359" t="s">
        <v>1686</v>
      </c>
      <c r="J39" s="359" t="s">
        <v>1624</v>
      </c>
      <c r="K39" s="360" t="s">
        <v>15765</v>
      </c>
      <c r="L39" s="360" t="s">
        <v>15766</v>
      </c>
      <c r="M39" s="360"/>
      <c r="N39" s="360"/>
      <c r="O39" s="360" t="s">
        <v>15767</v>
      </c>
      <c r="P39" s="361"/>
      <c r="Q39" s="362"/>
      <c r="R39" s="215" t="str">
        <f ca="1">IF(ISERROR($V39),"",OFFSET('Smelter Look-up'!$C$4,$V39-4,0)&amp;"")</f>
        <v>United Precious Metal Refining, Inc.</v>
      </c>
      <c r="S39" s="222" t="str">
        <f t="shared" ca="1" si="3"/>
        <v>US</v>
      </c>
      <c r="T39" s="222" t="str">
        <f ca="1">IF(B39="","",IF(ISERROR(MATCH($J39,SorP!$B$1:$B$6230,0)),"",INDIRECT("'SorP'!$A$"&amp;MATCH($J39,SorP!$B$1:$B$6230,0))))</f>
        <v>US-NY</v>
      </c>
      <c r="U39" s="238"/>
      <c r="V39" s="270">
        <f>IF(C39="",NA(),MATCH($B39&amp;$C39,'Smelter Look-up'!$J:$J,0))</f>
        <v>287</v>
      </c>
      <c r="W39" s="271"/>
      <c r="X39" s="271">
        <f t="shared" si="4"/>
        <v>0</v>
      </c>
      <c r="Y39" s="271"/>
      <c r="Z39" s="271"/>
      <c r="AB39" s="273" t="str">
        <f t="shared" si="5"/>
        <v>GoldUnited Precious Metal Refining, Inc.</v>
      </c>
    </row>
    <row r="40" spans="1:28" s="272" customFormat="1" ht="80.25" customHeight="1">
      <c r="A40" s="363" t="s">
        <v>1398</v>
      </c>
      <c r="B40" s="355" t="s">
        <v>1132</v>
      </c>
      <c r="C40" s="356" t="s">
        <v>2189</v>
      </c>
      <c r="D40" s="357"/>
      <c r="E40" s="355" t="s">
        <v>15646</v>
      </c>
      <c r="F40" s="355" t="s">
        <v>1398</v>
      </c>
      <c r="G40" s="355" t="s">
        <v>13459</v>
      </c>
      <c r="H40" s="358" t="s">
        <v>15768</v>
      </c>
      <c r="I40" s="359" t="s">
        <v>1756</v>
      </c>
      <c r="J40" s="359" t="s">
        <v>13842</v>
      </c>
      <c r="K40" s="360" t="s">
        <v>15769</v>
      </c>
      <c r="L40" s="360" t="s">
        <v>15770</v>
      </c>
      <c r="M40" s="360"/>
      <c r="N40" s="360"/>
      <c r="O40" s="360" t="s">
        <v>15771</v>
      </c>
      <c r="P40" s="361"/>
      <c r="Q40" s="362"/>
      <c r="R40" s="215" t="str">
        <f ca="1">IF(ISERROR($V40),"",OFFSET('Smelter Look-up'!$C$4,$V40-4,0)&amp;"")</f>
        <v>Jiangxi Dinghai Tantalum &amp; Niobium Co., Ltd.</v>
      </c>
      <c r="S40" s="222" t="str">
        <f t="shared" ca="1" si="3"/>
        <v>CN</v>
      </c>
      <c r="T40" s="222" t="str">
        <f ca="1">IF(B40="","",IF(ISERROR(MATCH($J40,SorP!$B$1:$B$6230,0)),"",INDIRECT("'SorP'!$A$"&amp;MATCH($J40,SorP!$B$1:$B$6230,0))))</f>
        <v>CN-JX</v>
      </c>
      <c r="U40" s="238"/>
      <c r="V40" s="270">
        <f>IF(C40="",NA(),MATCH($B40&amp;$C40,'Smelter Look-up'!$J:$J,0))</f>
        <v>333</v>
      </c>
      <c r="W40" s="271"/>
      <c r="X40" s="271">
        <f t="shared" si="4"/>
        <v>0</v>
      </c>
      <c r="Y40" s="271"/>
      <c r="Z40" s="271"/>
      <c r="AB40" s="273" t="str">
        <f t="shared" si="5"/>
        <v>TantalumJiangxi Dinghai Tantalum &amp; Niobium Co., Ltd.</v>
      </c>
    </row>
    <row r="41" spans="1:28" s="272" customFormat="1" ht="66" customHeight="1">
      <c r="A41" s="363" t="s">
        <v>736</v>
      </c>
      <c r="B41" s="355" t="s">
        <v>1130</v>
      </c>
      <c r="C41" s="356" t="s">
        <v>2214</v>
      </c>
      <c r="D41" s="357"/>
      <c r="E41" s="355" t="s">
        <v>15646</v>
      </c>
      <c r="F41" s="355" t="s">
        <v>736</v>
      </c>
      <c r="G41" s="355" t="s">
        <v>13459</v>
      </c>
      <c r="H41" s="358" t="s">
        <v>15772</v>
      </c>
      <c r="I41" s="359" t="s">
        <v>1679</v>
      </c>
      <c r="J41" s="359" t="s">
        <v>13840</v>
      </c>
      <c r="K41" s="360" t="s">
        <v>15773</v>
      </c>
      <c r="L41" s="360" t="s">
        <v>15774</v>
      </c>
      <c r="M41" s="360"/>
      <c r="N41" s="360"/>
      <c r="O41" s="360" t="s">
        <v>15775</v>
      </c>
      <c r="P41" s="361"/>
      <c r="Q41" s="362"/>
      <c r="R41" s="215" t="str">
        <f ca="1">IF(ISERROR($V41),"",OFFSET('Smelter Look-up'!$C$4,$V41-4,0)&amp;"")</f>
        <v>Tongling Nonferrous Metals Group Co., Ltd.</v>
      </c>
      <c r="S41" s="222" t="str">
        <f t="shared" ca="1" si="3"/>
        <v>CN</v>
      </c>
      <c r="T41" s="222" t="str">
        <f ca="1">IF(B41="","",IF(ISERROR(MATCH($J41,SorP!$B$1:$B$6230,0)),"",INDIRECT("'SorP'!$A$"&amp;MATCH($J41,SorP!$B$1:$B$6230,0))))</f>
        <v>CN-AH</v>
      </c>
      <c r="U41" s="238"/>
      <c r="V41" s="270">
        <f>IF(C41="",NA(),MATCH($B41&amp;$C41,'Smelter Look-up'!$J:$J,0))</f>
        <v>277</v>
      </c>
      <c r="W41" s="271"/>
      <c r="X41" s="271">
        <f t="shared" si="4"/>
        <v>0</v>
      </c>
      <c r="Y41" s="271"/>
      <c r="Z41" s="271"/>
      <c r="AB41" s="273" t="str">
        <f t="shared" si="5"/>
        <v>GoldTongling Nonferrous Metals Group Co., Ltd.</v>
      </c>
    </row>
    <row r="42" spans="1:28" s="272" customFormat="1" ht="76.5" customHeight="1">
      <c r="A42" s="363" t="s">
        <v>1389</v>
      </c>
      <c r="B42" s="355" t="s">
        <v>1130</v>
      </c>
      <c r="C42" s="356" t="s">
        <v>12918</v>
      </c>
      <c r="D42" s="357"/>
      <c r="E42" s="355" t="s">
        <v>15776</v>
      </c>
      <c r="F42" s="355" t="s">
        <v>1389</v>
      </c>
      <c r="G42" s="355" t="s">
        <v>13459</v>
      </c>
      <c r="H42" s="358" t="s">
        <v>15777</v>
      </c>
      <c r="I42" s="359" t="s">
        <v>1707</v>
      </c>
      <c r="J42" s="359" t="s">
        <v>9704</v>
      </c>
      <c r="K42" s="360" t="s">
        <v>15778</v>
      </c>
      <c r="L42" s="360" t="s">
        <v>15779</v>
      </c>
      <c r="M42" s="360"/>
      <c r="N42" s="360"/>
      <c r="O42" s="360" t="s">
        <v>15780</v>
      </c>
      <c r="P42" s="361"/>
      <c r="Q42" s="362"/>
      <c r="R42" s="215" t="str">
        <f ca="1">IF(ISERROR($V42),"",OFFSET('Smelter Look-up'!$C$4,$V42-4,0)&amp;"")</f>
        <v>KGHM Polska Miedz Spolka Akcyjna</v>
      </c>
      <c r="S42" s="222" t="str">
        <f t="shared" ca="1" si="3"/>
        <v>PL</v>
      </c>
      <c r="T42" s="222" t="str">
        <f ca="1">IF(B42="","",IF(ISERROR(MATCH($J42,SorP!$B$1:$B$6230,0)),"",INDIRECT("'SorP'!$A$"&amp;MATCH($J42,SorP!$B$1:$B$6230,0))))</f>
        <v>PL-02</v>
      </c>
      <c r="U42" s="238"/>
      <c r="V42" s="270">
        <f>IF(C42="",NA(),MATCH($B42&amp;$C42,'Smelter Look-up'!$J:$J,0))</f>
        <v>135</v>
      </c>
      <c r="W42" s="271"/>
      <c r="X42" s="271">
        <f t="shared" si="4"/>
        <v>0</v>
      </c>
      <c r="Y42" s="271"/>
      <c r="Z42" s="271"/>
      <c r="AB42" s="273" t="str">
        <f t="shared" si="5"/>
        <v>GoldKGHM Polska Miedz Spolka Akcyjna</v>
      </c>
    </row>
    <row r="43" spans="1:28" s="272" customFormat="1" ht="97.5" customHeight="1">
      <c r="A43" s="363" t="s">
        <v>1429</v>
      </c>
      <c r="B43" s="355" t="s">
        <v>1133</v>
      </c>
      <c r="C43" s="356" t="s">
        <v>2361</v>
      </c>
      <c r="D43" s="357"/>
      <c r="E43" s="355" t="s">
        <v>15781</v>
      </c>
      <c r="F43" s="355" t="s">
        <v>1429</v>
      </c>
      <c r="G43" s="355" t="s">
        <v>13459</v>
      </c>
      <c r="H43" s="358" t="s">
        <v>15782</v>
      </c>
      <c r="I43" s="359" t="s">
        <v>1762</v>
      </c>
      <c r="J43" s="359" t="s">
        <v>1550</v>
      </c>
      <c r="K43" s="360" t="s">
        <v>15783</v>
      </c>
      <c r="L43" s="360" t="s">
        <v>15784</v>
      </c>
      <c r="M43" s="360"/>
      <c r="N43" s="360"/>
      <c r="O43" s="360" t="s">
        <v>15785</v>
      </c>
      <c r="P43" s="361"/>
      <c r="Q43" s="362"/>
      <c r="R43" s="215" t="str">
        <f ca="1">IF(ISERROR($V43),"",OFFSET('Smelter Look-up'!$C$4,$V43-4,0)&amp;"")</f>
        <v>TANIOBIS Smelting GmbH &amp; Co. KG</v>
      </c>
      <c r="S43" s="222" t="str">
        <f t="shared" ca="1" si="3"/>
        <v>DE</v>
      </c>
      <c r="T43" s="222" t="str">
        <f ca="1">IF(B43="","",IF(ISERROR(MATCH($J43,SorP!$B$1:$B$6230,0)),"",INDIRECT("'SorP'!$A$"&amp;MATCH($J43,SorP!$B$1:$B$6230,0))))</f>
        <v>DE-BW</v>
      </c>
      <c r="U43" s="238"/>
      <c r="V43" s="270">
        <f>IF(C43="",NA(),MATCH($B43&amp;$C43,'Smelter Look-up'!$J:$J,0))</f>
        <v>563</v>
      </c>
      <c r="W43" s="271"/>
      <c r="X43" s="271">
        <f t="shared" si="4"/>
        <v>0</v>
      </c>
      <c r="Y43" s="271"/>
      <c r="Z43" s="271"/>
      <c r="AB43" s="273" t="str">
        <f t="shared" si="5"/>
        <v>TungstenH.C. Starck Smelting GmbH &amp; Co. KG</v>
      </c>
    </row>
    <row r="44" spans="1:28" s="272" customFormat="1" ht="94.5" customHeight="1">
      <c r="A44" s="363" t="s">
        <v>1426</v>
      </c>
      <c r="B44" s="355" t="s">
        <v>1132</v>
      </c>
      <c r="C44" s="356" t="s">
        <v>1425</v>
      </c>
      <c r="D44" s="357"/>
      <c r="E44" s="355" t="s">
        <v>15786</v>
      </c>
      <c r="F44" s="355" t="s">
        <v>1426</v>
      </c>
      <c r="G44" s="355" t="s">
        <v>13459</v>
      </c>
      <c r="H44" s="358" t="s">
        <v>15787</v>
      </c>
      <c r="I44" s="359" t="s">
        <v>1757</v>
      </c>
      <c r="J44" s="359" t="s">
        <v>1758</v>
      </c>
      <c r="K44" s="360" t="s">
        <v>15788</v>
      </c>
      <c r="L44" s="360" t="s">
        <v>15789</v>
      </c>
      <c r="M44" s="360"/>
      <c r="N44" s="360"/>
      <c r="O44" s="360" t="s">
        <v>15790</v>
      </c>
      <c r="P44" s="361"/>
      <c r="Q44" s="362"/>
      <c r="R44" s="215" t="str">
        <f ca="1">IF(ISERROR($V44),"",OFFSET('Smelter Look-up'!$C$4,$V44-4,0)&amp;"")</f>
        <v>KEMET de Mexico</v>
      </c>
      <c r="S44" s="222" t="str">
        <f t="shared" ca="1" si="3"/>
        <v>MX</v>
      </c>
      <c r="T44" s="222" t="str">
        <f ca="1">IF(B44="","",IF(ISERROR(MATCH($J44,SorP!$B$1:$B$6230,0)),"",INDIRECT("'SorP'!$A$"&amp;MATCH($J44,SorP!$B$1:$B$6230,0))))</f>
        <v>MX-TAM</v>
      </c>
      <c r="U44" s="238"/>
      <c r="V44" s="270">
        <f>IF(C44="",NA(),MATCH($B44&amp;$C44,'Smelter Look-up'!$J:$J,0))</f>
        <v>339</v>
      </c>
      <c r="W44" s="271"/>
      <c r="X44" s="271">
        <f t="shared" si="4"/>
        <v>0</v>
      </c>
      <c r="Y44" s="271"/>
      <c r="Z44" s="271"/>
      <c r="AB44" s="273" t="str">
        <f t="shared" si="5"/>
        <v>TantalumKEMET Blue Metals</v>
      </c>
    </row>
    <row r="45" spans="1:28" s="272" customFormat="1" ht="72" customHeight="1">
      <c r="A45" s="363" t="s">
        <v>738</v>
      </c>
      <c r="B45" s="355" t="s">
        <v>1130</v>
      </c>
      <c r="C45" s="356" t="s">
        <v>2358</v>
      </c>
      <c r="D45" s="357"/>
      <c r="E45" s="355" t="s">
        <v>15791</v>
      </c>
      <c r="F45" s="355" t="s">
        <v>738</v>
      </c>
      <c r="G45" s="355" t="s">
        <v>13459</v>
      </c>
      <c r="H45" s="358" t="s">
        <v>15792</v>
      </c>
      <c r="I45" s="359" t="s">
        <v>1684</v>
      </c>
      <c r="J45" s="359" t="s">
        <v>3190</v>
      </c>
      <c r="K45" s="360" t="s">
        <v>15793</v>
      </c>
      <c r="L45" s="360" t="s">
        <v>15794</v>
      </c>
      <c r="M45" s="360"/>
      <c r="N45" s="360"/>
      <c r="O45" s="360" t="s">
        <v>15795</v>
      </c>
      <c r="P45" s="361"/>
      <c r="Q45" s="362"/>
      <c r="R45" s="215" t="str">
        <f ca="1">IF(ISERROR($V45),"",OFFSET('Smelter Look-up'!$C$4,$V45-4,0)&amp;"")</f>
        <v>Umicore S.A. Business Unit Precious Metals Refining</v>
      </c>
      <c r="S45" s="222" t="str">
        <f t="shared" ca="1" si="3"/>
        <v>BE</v>
      </c>
      <c r="T45" s="222" t="str">
        <f ca="1">IF(B45="","",IF(ISERROR(MATCH($J45,SorP!$B$1:$B$6230,0)),"",INDIRECT("'SorP'!$A$"&amp;MATCH($J45,SorP!$B$1:$B$6230,0))))</f>
        <v>BE-VAN</v>
      </c>
      <c r="U45" s="238"/>
      <c r="V45" s="270">
        <f>IF(C45="",NA(),MATCH($B45&amp;$C45,'Smelter Look-up'!$J:$J,0))</f>
        <v>286</v>
      </c>
      <c r="W45" s="271"/>
      <c r="X45" s="271">
        <f t="shared" si="4"/>
        <v>0</v>
      </c>
      <c r="Y45" s="271"/>
      <c r="Z45" s="271"/>
      <c r="AB45" s="273" t="str">
        <f t="shared" si="5"/>
        <v>GoldUmicore S.A. Business Unit Precious Metals Refining</v>
      </c>
    </row>
    <row r="46" spans="1:28" s="272" customFormat="1" ht="97.5" customHeight="1">
      <c r="A46" s="363" t="s">
        <v>1428</v>
      </c>
      <c r="B46" s="355" t="s">
        <v>1133</v>
      </c>
      <c r="C46" s="356" t="s">
        <v>2570</v>
      </c>
      <c r="D46" s="357"/>
      <c r="E46" s="355" t="s">
        <v>15781</v>
      </c>
      <c r="F46" s="355" t="s">
        <v>1428</v>
      </c>
      <c r="G46" s="355" t="s">
        <v>13459</v>
      </c>
      <c r="H46" s="358" t="s">
        <v>15796</v>
      </c>
      <c r="I46" s="359" t="s">
        <v>1761</v>
      </c>
      <c r="J46" s="359" t="s">
        <v>4284</v>
      </c>
      <c r="K46" s="360" t="s">
        <v>15783</v>
      </c>
      <c r="L46" s="360" t="s">
        <v>15784</v>
      </c>
      <c r="M46" s="360"/>
      <c r="N46" s="360"/>
      <c r="O46" s="360" t="s">
        <v>15797</v>
      </c>
      <c r="P46" s="361"/>
      <c r="Q46" s="362"/>
      <c r="R46" s="215" t="str">
        <f ca="1">IF(ISERROR($V46),"",OFFSET('Smelter Look-up'!$C$4,$V46-4,0)&amp;"")</f>
        <v>H.C. Starck Tungsten GmbH</v>
      </c>
      <c r="S46" s="222" t="str">
        <f t="shared" ca="1" si="3"/>
        <v>DE</v>
      </c>
      <c r="T46" s="222" t="str">
        <f ca="1">IF(B46="","",IF(ISERROR(MATCH($J46,SorP!$B$1:$B$6230,0)),"",INDIRECT("'SorP'!$A$"&amp;MATCH($J46,SorP!$B$1:$B$6230,0))))</f>
        <v>DE-NI</v>
      </c>
      <c r="U46" s="238"/>
      <c r="V46" s="270">
        <f>IF(C46="",NA(),MATCH($B46&amp;$C46,'Smelter Look-up'!$J:$J,0))</f>
        <v>564</v>
      </c>
      <c r="W46" s="271"/>
      <c r="X46" s="271">
        <f t="shared" si="4"/>
        <v>0</v>
      </c>
      <c r="Y46" s="271"/>
      <c r="Z46" s="271"/>
      <c r="AB46" s="273" t="str">
        <f t="shared" si="5"/>
        <v>TungstenH.C. Starck Tungsten GmbH</v>
      </c>
    </row>
    <row r="47" spans="1:28" s="272" customFormat="1" ht="89.25" customHeight="1">
      <c r="A47" s="363" t="s">
        <v>1406</v>
      </c>
      <c r="B47" s="355" t="s">
        <v>1133</v>
      </c>
      <c r="C47" s="356" t="s">
        <v>1405</v>
      </c>
      <c r="D47" s="357"/>
      <c r="E47" s="355" t="s">
        <v>15646</v>
      </c>
      <c r="F47" s="355" t="s">
        <v>1406</v>
      </c>
      <c r="G47" s="355" t="s">
        <v>13459</v>
      </c>
      <c r="H47" s="358" t="s">
        <v>15798</v>
      </c>
      <c r="I47" s="359" t="s">
        <v>1788</v>
      </c>
      <c r="J47" s="359" t="s">
        <v>13846</v>
      </c>
      <c r="K47" s="360" t="s">
        <v>15799</v>
      </c>
      <c r="L47" s="360" t="s">
        <v>15800</v>
      </c>
      <c r="M47" s="360"/>
      <c r="N47" s="360"/>
      <c r="O47" s="360" t="s">
        <v>15801</v>
      </c>
      <c r="P47" s="361"/>
      <c r="Q47" s="362"/>
      <c r="R47" s="215" t="str">
        <f ca="1">IF(ISERROR($V47),"",OFFSET('Smelter Look-up'!$C$4,$V47-4,0)&amp;"")</f>
        <v>Chenzhou Diamond Tungsten Products Co., Ltd.</v>
      </c>
      <c r="S47" s="222" t="str">
        <f t="shared" ca="1" si="3"/>
        <v>CN</v>
      </c>
      <c r="T47" s="222" t="str">
        <f ca="1">IF(B47="","",IF(ISERROR(MATCH($J47,SorP!$B$1:$B$6230,0)),"",INDIRECT("'SorP'!$A$"&amp;MATCH($J47,SorP!$B$1:$B$6230,0))))</f>
        <v>CN-HN</v>
      </c>
      <c r="U47" s="238"/>
      <c r="V47" s="270">
        <f>IF(C47="",NA(),MATCH($B47&amp;$C47,'Smelter Look-up'!$J:$J,0))</f>
        <v>545</v>
      </c>
      <c r="W47" s="271"/>
      <c r="X47" s="271">
        <f t="shared" si="4"/>
        <v>0</v>
      </c>
      <c r="Y47" s="271"/>
      <c r="Z47" s="271"/>
      <c r="AB47" s="273" t="str">
        <f t="shared" si="5"/>
        <v>TungstenChenzhou Diamond Tungsten Products Co., Ltd.</v>
      </c>
    </row>
    <row r="48" spans="1:28" s="272" customFormat="1" ht="69.75" customHeight="1">
      <c r="A48" s="363" t="s">
        <v>1394</v>
      </c>
      <c r="B48" s="355" t="s">
        <v>1130</v>
      </c>
      <c r="C48" s="356" t="s">
        <v>1393</v>
      </c>
      <c r="D48" s="357"/>
      <c r="E48" s="355" t="s">
        <v>15802</v>
      </c>
      <c r="F48" s="355" t="s">
        <v>1394</v>
      </c>
      <c r="G48" s="355" t="s">
        <v>13459</v>
      </c>
      <c r="H48" s="358" t="s">
        <v>15803</v>
      </c>
      <c r="I48" s="359" t="s">
        <v>1710</v>
      </c>
      <c r="J48" s="359" t="s">
        <v>1711</v>
      </c>
      <c r="K48" s="360" t="s">
        <v>15804</v>
      </c>
      <c r="L48" s="360" t="s">
        <v>15805</v>
      </c>
      <c r="M48" s="360"/>
      <c r="N48" s="360"/>
      <c r="O48" s="360" t="s">
        <v>15806</v>
      </c>
      <c r="P48" s="361"/>
      <c r="Q48" s="362"/>
      <c r="R48" s="215" t="str">
        <f ca="1">IF(ISERROR($V48),"",OFFSET('Smelter Look-up'!$C$4,$V48-4,0)&amp;"")</f>
        <v>Singway Technology Co., Ltd.</v>
      </c>
      <c r="S48" s="222" t="str">
        <f t="shared" ref="S48" ca="1" si="6">IF(B48="","",IF(ISERROR(MATCH($E48,CL,0)),"Unknown",INDIRECT("'C'!$A$"&amp;MATCH($E48,CL,0)+1)))</f>
        <v>TW</v>
      </c>
      <c r="T48" s="222" t="str">
        <f ca="1">IF(B48="","",IF(ISERROR(MATCH($J48,SorP!$B$1:$B$6230,0)),"",INDIRECT("'SorP'!$A$"&amp;MATCH($J48,SorP!$B$1:$B$6230,0))))</f>
        <v>TW-TAO</v>
      </c>
      <c r="U48" s="238"/>
      <c r="V48" s="270">
        <f>IF(C48="",NA(),MATCH($B48&amp;$C48,'Smelter Look-up'!$J:$J,0))</f>
        <v>249</v>
      </c>
      <c r="W48" s="271"/>
      <c r="X48" s="271">
        <f t="shared" ref="X48" si="7">IF(AND(C48="Smelter not listed",OR(LEN(D48)=0,LEN(E48)=0)),1,0)</f>
        <v>0</v>
      </c>
      <c r="Y48" s="271"/>
      <c r="Z48" s="271"/>
      <c r="AB48" s="273" t="str">
        <f t="shared" ref="AB48" si="8">B48&amp;C48</f>
        <v>GoldSingway Technology Co., Ltd.</v>
      </c>
    </row>
    <row r="49" spans="1:28" s="272" customFormat="1" ht="63.75">
      <c r="A49" s="363" t="s">
        <v>2223</v>
      </c>
      <c r="B49" s="355" t="s">
        <v>1130</v>
      </c>
      <c r="C49" s="356" t="s">
        <v>2220</v>
      </c>
      <c r="D49" s="357"/>
      <c r="E49" s="355" t="s">
        <v>15781</v>
      </c>
      <c r="F49" s="355" t="s">
        <v>2223</v>
      </c>
      <c r="G49" s="355" t="s">
        <v>13459</v>
      </c>
      <c r="H49" s="358" t="s">
        <v>15807</v>
      </c>
      <c r="I49" s="359" t="s">
        <v>1549</v>
      </c>
      <c r="J49" s="359" t="s">
        <v>1550</v>
      </c>
      <c r="K49" s="360" t="s">
        <v>15808</v>
      </c>
      <c r="L49" s="360" t="s">
        <v>15809</v>
      </c>
      <c r="M49" s="360"/>
      <c r="N49" s="360"/>
      <c r="O49" s="360" t="s">
        <v>15810</v>
      </c>
      <c r="P49" s="361"/>
      <c r="Q49" s="362"/>
      <c r="R49" s="215" t="str">
        <f ca="1">IF(ISERROR($V49),"",OFFSET('Smelter Look-up'!$C$4,$V49-4,0)&amp;"")</f>
        <v>WIELAND Edelmetalle GmbH</v>
      </c>
      <c r="S49" s="222" t="str">
        <f t="shared" ref="S49:S80" ca="1" si="9">IF(B49="","",IF(ISERROR(MATCH($E49,CL,0)),"Unknown",INDIRECT("'C'!$A$"&amp;MATCH($E49,CL,0)+1)))</f>
        <v>DE</v>
      </c>
      <c r="T49" s="222" t="str">
        <f ca="1">IF(B49="","",IF(ISERROR(MATCH($J49,SorP!$B$1:$B$6230,0)),"",INDIRECT("'SorP'!$A$"&amp;MATCH($J49,SorP!$B$1:$B$6230,0))))</f>
        <v>DE-BW</v>
      </c>
      <c r="U49" s="238"/>
      <c r="V49" s="270">
        <f>IF(C49="",NA(),MATCH($B49&amp;$C49,'Smelter Look-up'!$J:$J,0))</f>
        <v>292</v>
      </c>
      <c r="W49" s="271"/>
      <c r="X49" s="271">
        <f t="shared" ref="X49:X80" si="10">IF(AND(C49="Smelter not listed",OR(LEN(D49)=0,LEN(E49)=0)),1,0)</f>
        <v>0</v>
      </c>
      <c r="Y49" s="271"/>
      <c r="Z49" s="271"/>
      <c r="AB49" s="273" t="str">
        <f t="shared" ref="AB49:AB80" si="11">B49&amp;C49</f>
        <v>GoldWIELAND Edelmetalle GmbH</v>
      </c>
    </row>
    <row r="50" spans="1:28" s="272" customFormat="1" ht="38.25">
      <c r="A50" s="363" t="s">
        <v>2290</v>
      </c>
      <c r="B50" s="355" t="s">
        <v>1133</v>
      </c>
      <c r="C50" s="356" t="s">
        <v>2573</v>
      </c>
      <c r="D50" s="357"/>
      <c r="E50" s="355" t="s">
        <v>15697</v>
      </c>
      <c r="F50" s="355" t="s">
        <v>2290</v>
      </c>
      <c r="G50" s="355" t="s">
        <v>13459</v>
      </c>
      <c r="H50" s="358" t="s">
        <v>15811</v>
      </c>
      <c r="I50" s="359" t="s">
        <v>2291</v>
      </c>
      <c r="J50" s="359" t="s">
        <v>10169</v>
      </c>
      <c r="K50" s="360" t="s">
        <v>15812</v>
      </c>
      <c r="L50" s="360" t="s">
        <v>15813</v>
      </c>
      <c r="M50" s="360"/>
      <c r="N50" s="360"/>
      <c r="O50" s="360" t="s">
        <v>15814</v>
      </c>
      <c r="P50" s="361"/>
      <c r="Q50" s="362"/>
      <c r="R50" s="215" t="str">
        <f ca="1">IF(ISERROR($V50),"",OFFSET('Smelter Look-up'!$C$4,$V50-4,0)&amp;"")</f>
        <v>Moliren Ltd.</v>
      </c>
      <c r="S50" s="222" t="str">
        <f t="shared" ca="1" si="9"/>
        <v>RU</v>
      </c>
      <c r="T50" s="222" t="str">
        <f ca="1">IF(B50="","",IF(ISERROR(MATCH($J50,SorP!$B$1:$B$6230,0)),"",INDIRECT("'SorP'!$A$"&amp;MATCH($J50,SorP!$B$1:$B$6230,0))))</f>
        <v>RU-MOS</v>
      </c>
      <c r="U50" s="238"/>
      <c r="V50" s="270">
        <f>IF(C50="",NA(),MATCH($B50&amp;$C50,'Smelter Look-up'!$J:$J,0))</f>
        <v>589</v>
      </c>
      <c r="W50" s="271"/>
      <c r="X50" s="271">
        <f t="shared" si="10"/>
        <v>0</v>
      </c>
      <c r="Y50" s="271"/>
      <c r="Z50" s="271"/>
      <c r="AB50" s="273" t="str">
        <f t="shared" si="11"/>
        <v>TungstenMoliren Ltd.</v>
      </c>
    </row>
    <row r="51" spans="1:28" s="272" customFormat="1" ht="76.5">
      <c r="A51" s="363" t="s">
        <v>2302</v>
      </c>
      <c r="B51" s="355" t="s">
        <v>1131</v>
      </c>
      <c r="C51" s="356" t="s">
        <v>2301</v>
      </c>
      <c r="D51" s="357"/>
      <c r="E51" s="355" t="s">
        <v>15646</v>
      </c>
      <c r="F51" s="355" t="s">
        <v>2302</v>
      </c>
      <c r="G51" s="355" t="s">
        <v>13459</v>
      </c>
      <c r="H51" s="358" t="s">
        <v>15815</v>
      </c>
      <c r="I51" s="359" t="s">
        <v>1787</v>
      </c>
      <c r="J51" s="359" t="s">
        <v>13842</v>
      </c>
      <c r="K51" s="360" t="s">
        <v>15816</v>
      </c>
      <c r="L51" s="360" t="s">
        <v>15817</v>
      </c>
      <c r="M51" s="360"/>
      <c r="N51" s="360"/>
      <c r="O51" s="360" t="s">
        <v>15646</v>
      </c>
      <c r="P51" s="361"/>
      <c r="Q51" s="362"/>
      <c r="R51" s="215" t="str">
        <f ca="1">IF(ISERROR($V51),"",OFFSET('Smelter Look-up'!$C$4,$V51-4,0)&amp;"")</f>
        <v>HuiChang Hill Tin Industry Co., Ltd.</v>
      </c>
      <c r="S51" s="222" t="str">
        <f t="shared" ca="1" si="9"/>
        <v>CN</v>
      </c>
      <c r="T51" s="222" t="str">
        <f ca="1">IF(B51="","",IF(ISERROR(MATCH($J51,SorP!$B$1:$B$6230,0)),"",INDIRECT("'SorP'!$A$"&amp;MATCH($J51,SorP!$B$1:$B$6230,0))))</f>
        <v>CN-JX</v>
      </c>
      <c r="U51" s="238"/>
      <c r="V51" s="270">
        <f>IF(C51="",NA(),MATCH($B51&amp;$C51,'Smelter Look-up'!$J:$J,0))</f>
        <v>437</v>
      </c>
      <c r="W51" s="271"/>
      <c r="X51" s="271">
        <f t="shared" si="10"/>
        <v>0</v>
      </c>
      <c r="Y51" s="271"/>
      <c r="Z51" s="271"/>
      <c r="AB51" s="273" t="str">
        <f t="shared" si="11"/>
        <v>TinHuiChang Hill Tin Industry Co., Ltd.</v>
      </c>
    </row>
    <row r="52" spans="1:28" s="272" customFormat="1" ht="51">
      <c r="A52" s="363" t="s">
        <v>2362</v>
      </c>
      <c r="B52" s="355" t="s">
        <v>1132</v>
      </c>
      <c r="C52" s="356" t="s">
        <v>2390</v>
      </c>
      <c r="D52" s="357"/>
      <c r="E52" s="355" t="s">
        <v>15818</v>
      </c>
      <c r="F52" s="355" t="s">
        <v>2362</v>
      </c>
      <c r="G52" s="355" t="s">
        <v>13459</v>
      </c>
      <c r="H52" s="358" t="s">
        <v>15819</v>
      </c>
      <c r="I52" s="359" t="s">
        <v>15434</v>
      </c>
      <c r="J52" s="359" t="s">
        <v>8355</v>
      </c>
      <c r="K52" s="360" t="s">
        <v>15820</v>
      </c>
      <c r="L52" s="360" t="s">
        <v>15821</v>
      </c>
      <c r="M52" s="360"/>
      <c r="N52" s="360"/>
      <c r="O52" s="360" t="s">
        <v>15822</v>
      </c>
      <c r="P52" s="361"/>
      <c r="Q52" s="362"/>
      <c r="R52" s="215" t="str">
        <f ca="1">IF(ISERROR($V52),"",OFFSET('Smelter Look-up'!$C$4,$V52-4,0)&amp;"")</f>
        <v>Meta Materials</v>
      </c>
      <c r="S52" s="222" t="str">
        <f t="shared" ca="1" si="9"/>
        <v>MK</v>
      </c>
      <c r="T52" s="222" t="str">
        <f ca="1">IF(B52="","",IF(ISERROR(MATCH($J52,SorP!$B$1:$B$6230,0)),"",INDIRECT("'SorP'!$A$"&amp;MATCH($J52,SorP!$B$1:$B$6230,0))))</f>
        <v>MK-19</v>
      </c>
      <c r="U52" s="238"/>
      <c r="V52" s="270">
        <f>IF(C52="",NA(),MATCH($B52&amp;$C52,'Smelter Look-up'!$J:$J,0))</f>
        <v>355</v>
      </c>
      <c r="W52" s="271"/>
      <c r="X52" s="271">
        <f t="shared" si="10"/>
        <v>0</v>
      </c>
      <c r="Y52" s="271"/>
      <c r="Z52" s="271"/>
      <c r="AB52" s="273" t="str">
        <f t="shared" si="11"/>
        <v>TantalumPower Resources Ltd.</v>
      </c>
    </row>
    <row r="53" spans="1:28" s="272" customFormat="1" ht="204">
      <c r="A53" s="363" t="s">
        <v>14272</v>
      </c>
      <c r="B53" s="355" t="s">
        <v>1131</v>
      </c>
      <c r="C53" s="356" t="s">
        <v>13153</v>
      </c>
      <c r="D53" s="357"/>
      <c r="E53" s="355" t="s">
        <v>15669</v>
      </c>
      <c r="F53" s="355" t="s">
        <v>14272</v>
      </c>
      <c r="G53" s="355" t="s">
        <v>13459</v>
      </c>
      <c r="H53" s="358" t="s">
        <v>15823</v>
      </c>
      <c r="I53" s="359" t="s">
        <v>15442</v>
      </c>
      <c r="J53" s="359" t="s">
        <v>13066</v>
      </c>
      <c r="K53" s="360" t="s">
        <v>15824</v>
      </c>
      <c r="L53" s="360" t="s">
        <v>15825</v>
      </c>
      <c r="M53" s="360"/>
      <c r="N53" s="360"/>
      <c r="O53" s="360" t="s">
        <v>15826</v>
      </c>
      <c r="P53" s="361"/>
      <c r="Q53" s="362"/>
      <c r="R53" s="215" t="str">
        <f ca="1">IF(ISERROR($V53),"",OFFSET('Smelter Look-up'!$C$4,$V53-4,0)&amp;"")</f>
        <v>PT Bangka Serumpun</v>
      </c>
      <c r="S53" s="222" t="str">
        <f t="shared" ca="1" si="9"/>
        <v>ID</v>
      </c>
      <c r="T53" s="222" t="str">
        <f ca="1">IF(B53="","",IF(ISERROR(MATCH($J53,SorP!$B$1:$B$6230,0)),"",INDIRECT("'SorP'!$A$"&amp;MATCH($J53,SorP!$B$1:$B$6230,0))))</f>
        <v>ID-BB</v>
      </c>
      <c r="U53" s="238"/>
      <c r="V53" s="270">
        <f>IF(C53="",NA(),MATCH($B53&amp;$C53,'Smelter Look-up'!$J:$J,0))</f>
        <v>479</v>
      </c>
      <c r="W53" s="271"/>
      <c r="X53" s="271">
        <f t="shared" si="10"/>
        <v>0</v>
      </c>
      <c r="Y53" s="271"/>
      <c r="Z53" s="271"/>
      <c r="AB53" s="273" t="str">
        <f t="shared" si="11"/>
        <v>TinPT Bangka Serumpun</v>
      </c>
    </row>
    <row r="54" spans="1:28" s="272" customFormat="1" ht="63.75">
      <c r="A54" s="363" t="s">
        <v>13152</v>
      </c>
      <c r="B54" s="355" t="s">
        <v>1131</v>
      </c>
      <c r="C54" s="356" t="s">
        <v>13151</v>
      </c>
      <c r="D54" s="357"/>
      <c r="E54" s="355" t="s">
        <v>15827</v>
      </c>
      <c r="F54" s="355" t="s">
        <v>13152</v>
      </c>
      <c r="G54" s="355" t="s">
        <v>13459</v>
      </c>
      <c r="H54" s="358" t="s">
        <v>15828</v>
      </c>
      <c r="I54" s="359" t="s">
        <v>8443</v>
      </c>
      <c r="J54" s="359" t="s">
        <v>8443</v>
      </c>
      <c r="K54" s="360" t="s">
        <v>15829</v>
      </c>
      <c r="L54" s="360" t="s">
        <v>15830</v>
      </c>
      <c r="M54" s="360"/>
      <c r="N54" s="360"/>
      <c r="O54" s="360" t="s">
        <v>15831</v>
      </c>
      <c r="P54" s="361"/>
      <c r="Q54" s="362"/>
      <c r="R54" s="215" t="str">
        <f ca="1">IF(ISERROR($V54),"",OFFSET('Smelter Look-up'!$C$4,$V54-4,0)&amp;"")</f>
        <v>Pongpipat Company Limited</v>
      </c>
      <c r="S54" s="222" t="str">
        <f t="shared" ca="1" si="9"/>
        <v>MM</v>
      </c>
      <c r="T54" s="222" t="str">
        <f ca="1">IF(B54="","",IF(ISERROR(MATCH($J54,SorP!$B$1:$B$6230,0)),"",INDIRECT("'SorP'!$A$"&amp;MATCH($J54,SorP!$B$1:$B$6230,0))))</f>
        <v>MM-06</v>
      </c>
      <c r="U54" s="238"/>
      <c r="V54" s="270">
        <f>IF(C54="",NA(),MATCH($B54&amp;$C54,'Smelter Look-up'!$J:$J,0))</f>
        <v>473</v>
      </c>
      <c r="W54" s="271"/>
      <c r="X54" s="271">
        <f t="shared" si="10"/>
        <v>0</v>
      </c>
      <c r="Y54" s="271"/>
      <c r="Z54" s="271"/>
      <c r="AB54" s="273" t="str">
        <f t="shared" si="11"/>
        <v>TinPongpipat Company Limited</v>
      </c>
    </row>
    <row r="55" spans="1:28" s="272" customFormat="1" ht="76.5">
      <c r="A55" s="363" t="s">
        <v>1385</v>
      </c>
      <c r="B55" s="355" t="s">
        <v>1130</v>
      </c>
      <c r="C55" s="356" t="s">
        <v>1384</v>
      </c>
      <c r="D55" s="357"/>
      <c r="E55" s="355" t="s">
        <v>15631</v>
      </c>
      <c r="F55" s="355" t="s">
        <v>1385</v>
      </c>
      <c r="G55" s="355" t="s">
        <v>13459</v>
      </c>
      <c r="H55" s="358" t="s">
        <v>15832</v>
      </c>
      <c r="I55" s="359" t="s">
        <v>1545</v>
      </c>
      <c r="J55" s="359" t="s">
        <v>1546</v>
      </c>
      <c r="K55" s="360" t="s">
        <v>15833</v>
      </c>
      <c r="L55" s="360" t="s">
        <v>15834</v>
      </c>
      <c r="M55" s="360"/>
      <c r="N55" s="360"/>
      <c r="O55" s="360" t="s">
        <v>15835</v>
      </c>
      <c r="P55" s="361"/>
      <c r="Q55" s="362"/>
      <c r="R55" s="215" t="str">
        <f ca="1">IF(ISERROR($V55),"",OFFSET('Smelter Look-up'!$C$4,$V55-4,0)&amp;"")</f>
        <v>Advanced Chemical Company</v>
      </c>
      <c r="S55" s="222" t="str">
        <f t="shared" ca="1" si="9"/>
        <v>US</v>
      </c>
      <c r="T55" s="222" t="str">
        <f ca="1">IF(B55="","",IF(ISERROR(MATCH($J55,SorP!$B$1:$B$6230,0)),"",INDIRECT("'SorP'!$A$"&amp;MATCH($J55,SorP!$B$1:$B$6230,0))))</f>
        <v>US-RI</v>
      </c>
      <c r="U55" s="238"/>
      <c r="V55" s="270">
        <f>IF(C55="",NA(),MATCH($B55&amp;$C55,'Smelter Look-up'!$J:$J,0))</f>
        <v>7</v>
      </c>
      <c r="W55" s="271"/>
      <c r="X55" s="271">
        <f t="shared" si="10"/>
        <v>0</v>
      </c>
      <c r="Y55" s="271"/>
      <c r="Z55" s="271"/>
      <c r="AB55" s="273" t="str">
        <f t="shared" si="11"/>
        <v>GoldAdvanced Chemical Company</v>
      </c>
    </row>
    <row r="56" spans="1:28" s="272" customFormat="1" ht="91.5" customHeight="1">
      <c r="A56" s="363" t="s">
        <v>1432</v>
      </c>
      <c r="B56" s="355" t="s">
        <v>1133</v>
      </c>
      <c r="C56" s="356" t="s">
        <v>14051</v>
      </c>
      <c r="D56" s="357"/>
      <c r="E56" s="355" t="s">
        <v>15836</v>
      </c>
      <c r="F56" s="355" t="s">
        <v>1432</v>
      </c>
      <c r="G56" s="355" t="s">
        <v>13459</v>
      </c>
      <c r="H56" s="358" t="s">
        <v>15837</v>
      </c>
      <c r="I56" s="359" t="s">
        <v>1855</v>
      </c>
      <c r="J56" s="359" t="s">
        <v>12344</v>
      </c>
      <c r="K56" s="360" t="s">
        <v>15838</v>
      </c>
      <c r="L56" s="360" t="s">
        <v>15839</v>
      </c>
      <c r="M56" s="360"/>
      <c r="N56" s="360"/>
      <c r="O56" s="360" t="s">
        <v>15840</v>
      </c>
      <c r="P56" s="361"/>
      <c r="Q56" s="362"/>
      <c r="R56" s="215" t="str">
        <f ca="1">IF(ISERROR($V56),"",OFFSET('Smelter Look-up'!$C$4,$V56-4,0)&amp;"")</f>
        <v>Masan High-Tech Materials</v>
      </c>
      <c r="S56" s="222" t="str">
        <f t="shared" ca="1" si="9"/>
        <v>VN</v>
      </c>
      <c r="T56" s="222" t="str">
        <f ca="1">IF(B56="","",IF(ISERROR(MATCH($J56,SorP!$B$1:$B$6230,0)),"",INDIRECT("'SorP'!$A$"&amp;MATCH($J56,SorP!$B$1:$B$6230,0))))</f>
        <v>VN-69</v>
      </c>
      <c r="U56" s="238"/>
      <c r="V56" s="270">
        <f>IF(C56="",NA(),MATCH($B56&amp;$C56,'Smelter Look-up'!$J:$J,0))</f>
        <v>588</v>
      </c>
      <c r="W56" s="271"/>
      <c r="X56" s="271">
        <f t="shared" si="10"/>
        <v>0</v>
      </c>
      <c r="Y56" s="271"/>
      <c r="Z56" s="271"/>
      <c r="AB56" s="273" t="str">
        <f t="shared" si="11"/>
        <v>TungstenMasan Tungsten Chemical LLC (MTC)</v>
      </c>
    </row>
    <row r="57" spans="1:28" s="272" customFormat="1" ht="78" customHeight="1">
      <c r="A57" s="363" t="s">
        <v>1416</v>
      </c>
      <c r="B57" s="355" t="s">
        <v>1132</v>
      </c>
      <c r="C57" s="356" t="s">
        <v>1415</v>
      </c>
      <c r="D57" s="357"/>
      <c r="E57" s="355" t="s">
        <v>15841</v>
      </c>
      <c r="F57" s="355" t="s">
        <v>1416</v>
      </c>
      <c r="G57" s="355" t="s">
        <v>13459</v>
      </c>
      <c r="H57" s="358" t="s">
        <v>15842</v>
      </c>
      <c r="I57" s="359" t="s">
        <v>1759</v>
      </c>
      <c r="J57" s="359" t="s">
        <v>1760</v>
      </c>
      <c r="K57" s="360" t="s">
        <v>15843</v>
      </c>
      <c r="L57" s="360" t="s">
        <v>15844</v>
      </c>
      <c r="M57" s="360"/>
      <c r="N57" s="360"/>
      <c r="O57" s="360" t="s">
        <v>15845</v>
      </c>
      <c r="P57" s="361"/>
      <c r="Q57" s="362"/>
      <c r="R57" s="215" t="str">
        <f ca="1">IF(ISERROR($V57),"",OFFSET('Smelter Look-up'!$C$4,$V57-4,0)&amp;"")</f>
        <v>TANIOBIS Co., Ltd.</v>
      </c>
      <c r="S57" s="222" t="str">
        <f t="shared" ca="1" si="9"/>
        <v>TH</v>
      </c>
      <c r="T57" s="222" t="str">
        <f ca="1">IF(B57="","",IF(ISERROR(MATCH($J57,SorP!$B$1:$B$6230,0)),"",INDIRECT("'SorP'!$A$"&amp;MATCH($J57,SorP!$B$1:$B$6230,0))))</f>
        <v>TH-21</v>
      </c>
      <c r="U57" s="238"/>
      <c r="V57" s="270">
        <f>IF(C57="",NA(),MATCH($B57&amp;$C57,'Smelter Look-up'!$J:$J,0))</f>
        <v>326</v>
      </c>
      <c r="W57" s="271"/>
      <c r="X57" s="271">
        <f t="shared" si="10"/>
        <v>0</v>
      </c>
      <c r="Y57" s="271"/>
      <c r="Z57" s="271"/>
      <c r="AB57" s="273" t="str">
        <f t="shared" si="11"/>
        <v>TantalumH.C. Starck Co., Ltd.</v>
      </c>
    </row>
    <row r="58" spans="1:28" s="272" customFormat="1" ht="63.75">
      <c r="A58" s="363" t="s">
        <v>655</v>
      </c>
      <c r="B58" s="355" t="s">
        <v>1130</v>
      </c>
      <c r="C58" s="356" t="s">
        <v>2310</v>
      </c>
      <c r="D58" s="357"/>
      <c r="E58" s="355" t="s">
        <v>15641</v>
      </c>
      <c r="F58" s="355" t="s">
        <v>655</v>
      </c>
      <c r="G58" s="355" t="s">
        <v>13459</v>
      </c>
      <c r="H58" s="358" t="s">
        <v>15846</v>
      </c>
      <c r="I58" s="359" t="s">
        <v>1557</v>
      </c>
      <c r="J58" s="359" t="s">
        <v>1558</v>
      </c>
      <c r="K58" s="360" t="s">
        <v>15847</v>
      </c>
      <c r="L58" s="360" t="s">
        <v>15848</v>
      </c>
      <c r="M58" s="360"/>
      <c r="N58" s="360"/>
      <c r="O58" s="360" t="s">
        <v>15849</v>
      </c>
      <c r="P58" s="361"/>
      <c r="Q58" s="362"/>
      <c r="R58" s="215" t="str">
        <f ca="1">IF(ISERROR($V58),"",OFFSET('Smelter Look-up'!$C$4,$V58-4,0)&amp;"")</f>
        <v>Asahi Pretec Corp.</v>
      </c>
      <c r="S58" s="222" t="str">
        <f t="shared" ca="1" si="9"/>
        <v>JP</v>
      </c>
      <c r="T58" s="222" t="str">
        <f ca="1">IF(B58="","",IF(ISERROR(MATCH($J58,SorP!$B$1:$B$6230,0)),"",INDIRECT("'SorP'!$A$"&amp;MATCH($J58,SorP!$B$1:$B$6230,0))))</f>
        <v>JP-28</v>
      </c>
      <c r="U58" s="238"/>
      <c r="V58" s="270">
        <f>IF(C58="",NA(),MATCH($B58&amp;$C58,'Smelter Look-up'!$J:$J,0))</f>
        <v>26</v>
      </c>
      <c r="W58" s="271"/>
      <c r="X58" s="271">
        <f t="shared" si="10"/>
        <v>0</v>
      </c>
      <c r="Y58" s="271"/>
      <c r="Z58" s="271"/>
      <c r="AB58" s="273" t="str">
        <f t="shared" si="11"/>
        <v>GoldAsahi Pretec Corp.</v>
      </c>
    </row>
    <row r="59" spans="1:28" s="272" customFormat="1" ht="89.25">
      <c r="A59" s="363" t="s">
        <v>658</v>
      </c>
      <c r="B59" s="355" t="s">
        <v>1130</v>
      </c>
      <c r="C59" s="356" t="s">
        <v>1224</v>
      </c>
      <c r="D59" s="357"/>
      <c r="E59" s="355" t="s">
        <v>15781</v>
      </c>
      <c r="F59" s="355" t="s">
        <v>658</v>
      </c>
      <c r="G59" s="355" t="s">
        <v>13459</v>
      </c>
      <c r="H59" s="358" t="s">
        <v>15850</v>
      </c>
      <c r="I59" s="359" t="s">
        <v>1563</v>
      </c>
      <c r="J59" s="359" t="s">
        <v>1563</v>
      </c>
      <c r="K59" s="360" t="s">
        <v>15851</v>
      </c>
      <c r="L59" s="360" t="s">
        <v>15852</v>
      </c>
      <c r="M59" s="360"/>
      <c r="N59" s="360"/>
      <c r="O59" s="360" t="s">
        <v>15853</v>
      </c>
      <c r="P59" s="361"/>
      <c r="Q59" s="362"/>
      <c r="R59" s="215" t="str">
        <f ca="1">IF(ISERROR($V59),"",OFFSET('Smelter Look-up'!$C$4,$V59-4,0)&amp;"")</f>
        <v>Aurubis AG</v>
      </c>
      <c r="S59" s="222" t="str">
        <f t="shared" ca="1" si="9"/>
        <v>DE</v>
      </c>
      <c r="T59" s="222" t="str">
        <f ca="1">IF(B59="","",IF(ISERROR(MATCH($J59,SorP!$B$1:$B$6230,0)),"",INDIRECT("'SorP'!$A$"&amp;MATCH($J59,SorP!$B$1:$B$6230,0))))</f>
        <v>DE-HH</v>
      </c>
      <c r="U59" s="238"/>
      <c r="V59" s="270">
        <f>IF(C59="",NA(),MATCH($B59&amp;$C59,'Smelter Look-up'!$J:$J,0))</f>
        <v>34</v>
      </c>
      <c r="W59" s="271"/>
      <c r="X59" s="271">
        <f t="shared" si="10"/>
        <v>0</v>
      </c>
      <c r="Y59" s="271"/>
      <c r="Z59" s="271"/>
      <c r="AB59" s="273" t="str">
        <f t="shared" si="11"/>
        <v>GoldAurubis AG</v>
      </c>
    </row>
    <row r="60" spans="1:28" s="272" customFormat="1" ht="76.5">
      <c r="A60" s="363" t="s">
        <v>675</v>
      </c>
      <c r="B60" s="355" t="s">
        <v>1130</v>
      </c>
      <c r="C60" s="356" t="s">
        <v>13139</v>
      </c>
      <c r="D60" s="357"/>
      <c r="E60" s="355" t="s">
        <v>15646</v>
      </c>
      <c r="F60" s="355" t="s">
        <v>675</v>
      </c>
      <c r="G60" s="355" t="s">
        <v>13459</v>
      </c>
      <c r="H60" s="358" t="s">
        <v>15854</v>
      </c>
      <c r="I60" s="359" t="s">
        <v>1589</v>
      </c>
      <c r="J60" s="359" t="s">
        <v>13853</v>
      </c>
      <c r="K60" s="360" t="s">
        <v>15855</v>
      </c>
      <c r="L60" s="360" t="s">
        <v>15856</v>
      </c>
      <c r="M60" s="360"/>
      <c r="N60" s="360"/>
      <c r="O60" s="360" t="s">
        <v>15646</v>
      </c>
      <c r="P60" s="361"/>
      <c r="Q60" s="362"/>
      <c r="R60" s="215" t="str">
        <f ca="1">IF(ISERROR($V60),"",OFFSET('Smelter Look-up'!$C$4,$V60-4,0)&amp;"")</f>
        <v>Refinery of Seemine Gold Co., Ltd.</v>
      </c>
      <c r="S60" s="222" t="str">
        <f t="shared" ca="1" si="9"/>
        <v>CN</v>
      </c>
      <c r="T60" s="222" t="str">
        <f ca="1">IF(B60="","",IF(ISERROR(MATCH($J60,SorP!$B$1:$B$6230,0)),"",INDIRECT("'SorP'!$A$"&amp;MATCH($J60,SorP!$B$1:$B$6230,0))))</f>
        <v>CN-GS</v>
      </c>
      <c r="U60" s="238"/>
      <c r="V60" s="270">
        <f>IF(C60="",NA(),MATCH($B60&amp;$C60,'Smelter Look-up'!$J:$J,0))</f>
        <v>212</v>
      </c>
      <c r="W60" s="271"/>
      <c r="X60" s="271">
        <f t="shared" si="10"/>
        <v>0</v>
      </c>
      <c r="Y60" s="271"/>
      <c r="Z60" s="271"/>
      <c r="AB60" s="273" t="str">
        <f t="shared" si="11"/>
        <v>GoldRefinery of Seemine Gold Co., Ltd.</v>
      </c>
    </row>
    <row r="61" spans="1:28" s="272" customFormat="1" ht="102">
      <c r="A61" s="363" t="s">
        <v>714</v>
      </c>
      <c r="B61" s="355" t="s">
        <v>1130</v>
      </c>
      <c r="C61" s="356" t="s">
        <v>1231</v>
      </c>
      <c r="D61" s="357"/>
      <c r="E61" s="355" t="s">
        <v>15857</v>
      </c>
      <c r="F61" s="355" t="s">
        <v>714</v>
      </c>
      <c r="G61" s="355" t="s">
        <v>13459</v>
      </c>
      <c r="H61" s="358" t="s">
        <v>15858</v>
      </c>
      <c r="I61" s="359" t="s">
        <v>1639</v>
      </c>
      <c r="J61" s="359" t="s">
        <v>12229</v>
      </c>
      <c r="K61" s="360" t="s">
        <v>15859</v>
      </c>
      <c r="L61" s="360" t="s">
        <v>15860</v>
      </c>
      <c r="M61" s="360"/>
      <c r="N61" s="360"/>
      <c r="O61" s="360" t="s">
        <v>15861</v>
      </c>
      <c r="P61" s="361"/>
      <c r="Q61" s="362"/>
      <c r="R61" s="215" t="str">
        <f ca="1">IF(ISERROR($V61),"",OFFSET('Smelter Look-up'!$C$4,$V61-4,0)&amp;"")</f>
        <v>Navoi Mining and Metallurgical Combinat</v>
      </c>
      <c r="S61" s="222" t="str">
        <f t="shared" ca="1" si="9"/>
        <v>UZ</v>
      </c>
      <c r="T61" s="222" t="str">
        <f ca="1">IF(B61="","",IF(ISERROR(MATCH($J61,SorP!$B$1:$B$6230,0)),"",INDIRECT("'SorP'!$A$"&amp;MATCH($J61,SorP!$B$1:$B$6230,0))))</f>
        <v>UZ-NW</v>
      </c>
      <c r="U61" s="238"/>
      <c r="V61" s="270">
        <f>IF(C61="",NA(),MATCH($B61&amp;$C61,'Smelter Look-up'!$J:$J,0))</f>
        <v>186</v>
      </c>
      <c r="W61" s="271"/>
      <c r="X61" s="271">
        <f t="shared" si="10"/>
        <v>0</v>
      </c>
      <c r="Y61" s="271"/>
      <c r="Z61" s="271"/>
      <c r="AB61" s="273" t="str">
        <f t="shared" si="11"/>
        <v>GoldNavoi Mining and Metallurgical Combinat</v>
      </c>
    </row>
    <row r="62" spans="1:28" s="272" customFormat="1" ht="63.75">
      <c r="A62" s="363" t="s">
        <v>15394</v>
      </c>
      <c r="B62" s="355" t="s">
        <v>1131</v>
      </c>
      <c r="C62" s="356" t="s">
        <v>15393</v>
      </c>
      <c r="D62" s="357"/>
      <c r="E62" s="355" t="s">
        <v>15697</v>
      </c>
      <c r="F62" s="355" t="s">
        <v>15394</v>
      </c>
      <c r="G62" s="355" t="s">
        <v>13459</v>
      </c>
      <c r="H62" s="358" t="s">
        <v>15862</v>
      </c>
      <c r="I62" s="359" t="s">
        <v>1588</v>
      </c>
      <c r="J62" s="359" t="s">
        <v>10215</v>
      </c>
      <c r="K62" s="360" t="s">
        <v>15863</v>
      </c>
      <c r="L62" s="360" t="s">
        <v>15864</v>
      </c>
      <c r="M62" s="360"/>
      <c r="N62" s="360"/>
      <c r="O62" s="360" t="s">
        <v>15865</v>
      </c>
      <c r="P62" s="361"/>
      <c r="Q62" s="362"/>
      <c r="R62" s="215" t="str">
        <f ca="1">IF(ISERROR($V62),"",OFFSET('Smelter Look-up'!$C$4,$V62-4,0)&amp;"")</f>
        <v>Novosibirsk Processing Plant Ltd.</v>
      </c>
      <c r="S62" s="222" t="str">
        <f t="shared" ca="1" si="9"/>
        <v>RU</v>
      </c>
      <c r="T62" s="222" t="str">
        <f ca="1">IF(B62="","",IF(ISERROR(MATCH($J62,SorP!$B$1:$B$6230,0)),"",INDIRECT("'SorP'!$A$"&amp;MATCH($J62,SorP!$B$1:$B$6230,0))))</f>
        <v>RU-NVS</v>
      </c>
      <c r="U62" s="238"/>
      <c r="V62" s="270">
        <f>IF(C62="",NA(),MATCH($B62&amp;$C62,'Smelter Look-up'!$J:$J,0))</f>
        <v>467</v>
      </c>
      <c r="W62" s="271"/>
      <c r="X62" s="271">
        <f t="shared" si="10"/>
        <v>0</v>
      </c>
      <c r="Y62" s="271"/>
      <c r="Z62" s="271"/>
      <c r="AB62" s="273" t="str">
        <f t="shared" si="11"/>
        <v>TinNovosibirsk Processing Plant Ltd.</v>
      </c>
    </row>
    <row r="63" spans="1:28" s="272" customFormat="1" ht="76.5">
      <c r="A63" s="363" t="s">
        <v>1387</v>
      </c>
      <c r="B63" s="355" t="s">
        <v>1130</v>
      </c>
      <c r="C63" s="356" t="s">
        <v>1386</v>
      </c>
      <c r="D63" s="357"/>
      <c r="E63" s="355" t="s">
        <v>15866</v>
      </c>
      <c r="F63" s="355" t="s">
        <v>1387</v>
      </c>
      <c r="G63" s="355" t="s">
        <v>13459</v>
      </c>
      <c r="H63" s="358" t="s">
        <v>15867</v>
      </c>
      <c r="I63" s="359" t="s">
        <v>1708</v>
      </c>
      <c r="J63" s="359" t="s">
        <v>1709</v>
      </c>
      <c r="K63" s="360" t="s">
        <v>15868</v>
      </c>
      <c r="L63" s="360" t="s">
        <v>15869</v>
      </c>
      <c r="M63" s="360"/>
      <c r="N63" s="360"/>
      <c r="O63" s="360" t="s">
        <v>15870</v>
      </c>
      <c r="P63" s="361"/>
      <c r="Q63" s="362"/>
      <c r="R63" s="215" t="str">
        <f ca="1">IF(ISERROR($V63),"",OFFSET('Smelter Look-up'!$C$4,$V63-4,0)&amp;"")</f>
        <v>Fidelity Printers and Refiners Ltd.</v>
      </c>
      <c r="S63" s="222" t="str">
        <f t="shared" ca="1" si="9"/>
        <v>ZW</v>
      </c>
      <c r="T63" s="222" t="str">
        <f ca="1">IF(B63="","",IF(ISERROR(MATCH($J63,SorP!$B$1:$B$6230,0)),"",INDIRECT("'SorP'!$A$"&amp;MATCH($J63,SorP!$B$1:$B$6230,0))))</f>
        <v>ZW-HA</v>
      </c>
      <c r="U63" s="238"/>
      <c r="V63" s="270">
        <f>IF(C63="",NA(),MATCH($B63&amp;$C63,'Smelter Look-up'!$J:$J,0))</f>
        <v>80</v>
      </c>
      <c r="W63" s="271"/>
      <c r="X63" s="271">
        <f t="shared" si="10"/>
        <v>0</v>
      </c>
      <c r="Y63" s="271"/>
      <c r="Z63" s="271"/>
      <c r="AB63" s="273" t="str">
        <f t="shared" si="11"/>
        <v>GoldFidelity Printers and Refiners Ltd.</v>
      </c>
    </row>
    <row r="64" spans="1:28" s="272" customFormat="1" ht="76.5">
      <c r="A64" s="363" t="s">
        <v>14018</v>
      </c>
      <c r="B64" s="355" t="s">
        <v>1130</v>
      </c>
      <c r="C64" s="356" t="s">
        <v>14017</v>
      </c>
      <c r="D64" s="357"/>
      <c r="E64" s="355" t="s">
        <v>15646</v>
      </c>
      <c r="F64" s="355" t="s">
        <v>14018</v>
      </c>
      <c r="G64" s="355" t="s">
        <v>13459</v>
      </c>
      <c r="H64" s="358" t="s">
        <v>15871</v>
      </c>
      <c r="I64" s="359" t="s">
        <v>1663</v>
      </c>
      <c r="J64" s="359" t="s">
        <v>13843</v>
      </c>
      <c r="K64" s="360" t="s">
        <v>15625</v>
      </c>
      <c r="L64" s="360" t="s">
        <v>15872</v>
      </c>
      <c r="M64" s="360"/>
      <c r="N64" s="360"/>
      <c r="O64" s="360" t="s">
        <v>15712</v>
      </c>
      <c r="P64" s="361"/>
      <c r="Q64" s="362"/>
      <c r="R64" s="215" t="str">
        <f ca="1">IF(ISERROR($V64),"",OFFSET('Smelter Look-up'!$C$4,$V64-4,0)&amp;"")</f>
        <v>Shandong Humon Smelting Co., Ltd.</v>
      </c>
      <c r="S64" s="222" t="str">
        <f t="shared" ca="1" si="9"/>
        <v>CN</v>
      </c>
      <c r="T64" s="222" t="str">
        <f ca="1">IF(B64="","",IF(ISERROR(MATCH($J64,SorP!$B$1:$B$6230,0)),"",INDIRECT("'SorP'!$A$"&amp;MATCH($J64,SorP!$B$1:$B$6230,0))))</f>
        <v>CN-SD</v>
      </c>
      <c r="U64" s="238"/>
      <c r="V64" s="270">
        <f>IF(C64="",NA(),MATCH($B64&amp;$C64,'Smelter Look-up'!$J:$J,0))</f>
        <v>237</v>
      </c>
      <c r="W64" s="271"/>
      <c r="X64" s="271">
        <f t="shared" si="10"/>
        <v>0</v>
      </c>
      <c r="Y64" s="271"/>
      <c r="Z64" s="271"/>
      <c r="AB64" s="273" t="str">
        <f t="shared" si="11"/>
        <v>GoldShandong Humon Smelting Co., Ltd.</v>
      </c>
    </row>
    <row r="65" spans="1:28" s="272" customFormat="1" ht="102">
      <c r="A65" s="363" t="s">
        <v>15353</v>
      </c>
      <c r="B65" s="355" t="s">
        <v>1130</v>
      </c>
      <c r="C65" s="356" t="s">
        <v>15352</v>
      </c>
      <c r="D65" s="357"/>
      <c r="E65" s="355" t="s">
        <v>15646</v>
      </c>
      <c r="F65" s="355" t="s">
        <v>15353</v>
      </c>
      <c r="G65" s="355" t="s">
        <v>13459</v>
      </c>
      <c r="H65" s="358" t="s">
        <v>15873</v>
      </c>
      <c r="I65" s="359" t="s">
        <v>15430</v>
      </c>
      <c r="J65" s="359" t="s">
        <v>15431</v>
      </c>
      <c r="K65" s="360"/>
      <c r="L65" s="360"/>
      <c r="M65" s="360"/>
      <c r="N65" s="360"/>
      <c r="O65" s="360" t="s">
        <v>15646</v>
      </c>
      <c r="P65" s="361"/>
      <c r="Q65" s="362"/>
      <c r="R65" s="215" t="str">
        <f ca="1">IF(ISERROR($V65),"",OFFSET('Smelter Look-up'!$C$4,$V65-4,0)&amp;"")</f>
        <v>Shenzhen Zhonghenglong Real Industry Co., Ltd.</v>
      </c>
      <c r="S65" s="222" t="str">
        <f t="shared" ca="1" si="9"/>
        <v>CN</v>
      </c>
      <c r="T65" s="222" t="str">
        <f ca="1">IF(B65="","",IF(ISERROR(MATCH($J65,SorP!$B$1:$B$6230,0)),"",INDIRECT("'SorP'!$A$"&amp;MATCH($J65,SorP!$B$1:$B$6230,0))))</f>
        <v/>
      </c>
      <c r="U65" s="238"/>
      <c r="V65" s="270">
        <f>IF(C65="",NA(),MATCH($B65&amp;$C65,'Smelter Look-up'!$J:$J,0))</f>
        <v>243</v>
      </c>
      <c r="W65" s="271"/>
      <c r="X65" s="271">
        <f t="shared" si="10"/>
        <v>0</v>
      </c>
      <c r="Y65" s="271"/>
      <c r="Z65" s="271"/>
      <c r="AB65" s="273" t="str">
        <f t="shared" si="11"/>
        <v>GoldShenzhen Zhonghenglong Real Industry Co., Ltd.</v>
      </c>
    </row>
    <row r="66" spans="1:28" s="272" customFormat="1" ht="51">
      <c r="A66" s="363" t="s">
        <v>13132</v>
      </c>
      <c r="B66" s="355" t="s">
        <v>1130</v>
      </c>
      <c r="C66" s="356" t="s">
        <v>13131</v>
      </c>
      <c r="D66" s="357"/>
      <c r="E66" s="355" t="s">
        <v>15874</v>
      </c>
      <c r="F66" s="355" t="s">
        <v>13132</v>
      </c>
      <c r="G66" s="355" t="s">
        <v>13459</v>
      </c>
      <c r="H66" s="358" t="s">
        <v>15875</v>
      </c>
      <c r="I66" s="359" t="s">
        <v>13162</v>
      </c>
      <c r="J66" s="359" t="s">
        <v>11876</v>
      </c>
      <c r="K66" s="360" t="s">
        <v>15876</v>
      </c>
      <c r="L66" s="360" t="s">
        <v>15877</v>
      </c>
      <c r="M66" s="360"/>
      <c r="N66" s="360"/>
      <c r="O66" s="360" t="s">
        <v>15874</v>
      </c>
      <c r="P66" s="361"/>
      <c r="Q66" s="362"/>
      <c r="R66" s="215" t="str">
        <f ca="1">IF(ISERROR($V66),"",OFFSET('Smelter Look-up'!$C$4,$V66-4,0)&amp;"")</f>
        <v>African Gold Refinery</v>
      </c>
      <c r="S66" s="222" t="str">
        <f t="shared" ca="1" si="9"/>
        <v>UG</v>
      </c>
      <c r="T66" s="222" t="str">
        <f ca="1">IF(B66="","",IF(ISERROR(MATCH($J66,SorP!$B$1:$B$6230,0)),"",INDIRECT("'SorP'!$A$"&amp;MATCH($J66,SorP!$B$1:$B$6230,0))))</f>
        <v>UG-113</v>
      </c>
      <c r="U66" s="238"/>
      <c r="V66" s="270">
        <f>IF(C66="",NA(),MATCH($B66&amp;$C66,'Smelter Look-up'!$J:$J,0))</f>
        <v>8</v>
      </c>
      <c r="W66" s="271"/>
      <c r="X66" s="271">
        <f t="shared" si="10"/>
        <v>0</v>
      </c>
      <c r="Y66" s="271"/>
      <c r="Z66" s="271"/>
      <c r="AB66" s="273" t="str">
        <f t="shared" si="11"/>
        <v>GoldAfrican Gold Refinery</v>
      </c>
    </row>
    <row r="67" spans="1:28" s="272" customFormat="1" ht="38.25">
      <c r="A67" s="363" t="s">
        <v>14104</v>
      </c>
      <c r="B67" s="355" t="s">
        <v>1130</v>
      </c>
      <c r="C67" s="356" t="s">
        <v>14082</v>
      </c>
      <c r="D67" s="357"/>
      <c r="E67" s="355" t="s">
        <v>15878</v>
      </c>
      <c r="F67" s="355" t="s">
        <v>14104</v>
      </c>
      <c r="G67" s="355" t="s">
        <v>13459</v>
      </c>
      <c r="H67" s="358" t="s">
        <v>15879</v>
      </c>
      <c r="I67" s="359" t="s">
        <v>14271</v>
      </c>
      <c r="J67" s="359" t="s">
        <v>14271</v>
      </c>
      <c r="K67" s="360" t="s">
        <v>15880</v>
      </c>
      <c r="L67" s="360" t="s">
        <v>15881</v>
      </c>
      <c r="M67" s="360"/>
      <c r="N67" s="360"/>
      <c r="O67" s="360" t="s">
        <v>15712</v>
      </c>
      <c r="P67" s="361"/>
      <c r="Q67" s="362"/>
      <c r="R67" s="215" t="str">
        <f ca="1">IF(ISERROR($V67),"",OFFSET('Smelter Look-up'!$C$4,$V67-4,0)&amp;"")</f>
        <v>Gold Coast Refinery</v>
      </c>
      <c r="S67" s="222" t="str">
        <f t="shared" ca="1" si="9"/>
        <v>GH</v>
      </c>
      <c r="T67" s="222" t="str">
        <f ca="1">IF(B67="","",IF(ISERROR(MATCH($J67,SorP!$B$1:$B$6230,0)),"",INDIRECT("'SorP'!$A$"&amp;MATCH($J67,SorP!$B$1:$B$6230,0))))</f>
        <v/>
      </c>
      <c r="U67" s="238"/>
      <c r="V67" s="270">
        <f>IF(C67="",NA(),MATCH($B67&amp;$C67,'Smelter Look-up'!$J:$J,0))</f>
        <v>86</v>
      </c>
      <c r="W67" s="271"/>
      <c r="X67" s="271">
        <f t="shared" si="10"/>
        <v>0</v>
      </c>
      <c r="Y67" s="271"/>
      <c r="Z67" s="271"/>
      <c r="AB67" s="273" t="str">
        <f t="shared" si="11"/>
        <v>GoldGold Coast Refinery</v>
      </c>
    </row>
    <row r="68" spans="1:28" s="272" customFormat="1" ht="89.25">
      <c r="A68" s="363" t="s">
        <v>13147</v>
      </c>
      <c r="B68" s="355" t="s">
        <v>1131</v>
      </c>
      <c r="C68" s="356" t="s">
        <v>13146</v>
      </c>
      <c r="D68" s="357"/>
      <c r="E68" s="355" t="s">
        <v>15646</v>
      </c>
      <c r="F68" s="355" t="s">
        <v>13147</v>
      </c>
      <c r="G68" s="355" t="s">
        <v>13459</v>
      </c>
      <c r="H68" s="358" t="s">
        <v>15882</v>
      </c>
      <c r="I68" s="359" t="s">
        <v>13167</v>
      </c>
      <c r="J68" s="359" t="s">
        <v>13825</v>
      </c>
      <c r="K68" s="360" t="s">
        <v>15883</v>
      </c>
      <c r="L68" s="360" t="s">
        <v>15884</v>
      </c>
      <c r="M68" s="360"/>
      <c r="N68" s="360"/>
      <c r="O68" s="360" t="s">
        <v>15729</v>
      </c>
      <c r="P68" s="361"/>
      <c r="Q68" s="362"/>
      <c r="R68" s="215" t="str">
        <f ca="1">IF(ISERROR($V68),"",OFFSET('Smelter Look-up'!$C$4,$V68-4,0)&amp;"")</f>
        <v>Chifeng Dajingzi Tin Industry Co., Ltd.</v>
      </c>
      <c r="S68" s="222" t="str">
        <f t="shared" ca="1" si="9"/>
        <v>CN</v>
      </c>
      <c r="T68" s="222" t="str">
        <f ca="1">IF(B68="","",IF(ISERROR(MATCH($J68,SorP!$B$1:$B$6230,0)),"",INDIRECT("'SorP'!$A$"&amp;MATCH($J68,SorP!$B$1:$B$6230,0))))</f>
        <v>CN-NM</v>
      </c>
      <c r="U68" s="238"/>
      <c r="V68" s="270">
        <f>IF(C68="",NA(),MATCH($B68&amp;$C68,'Smelter Look-up'!$J:$J,0))</f>
        <v>393</v>
      </c>
      <c r="W68" s="271"/>
      <c r="X68" s="271">
        <f t="shared" si="10"/>
        <v>0</v>
      </c>
      <c r="Y68" s="271"/>
      <c r="Z68" s="271"/>
      <c r="AB68" s="273" t="str">
        <f t="shared" si="11"/>
        <v>TinChifeng Dajingzi Tin Industry Co., Ltd.</v>
      </c>
    </row>
    <row r="69" spans="1:28" s="272" customFormat="1" ht="51">
      <c r="A69" s="363" t="s">
        <v>13135</v>
      </c>
      <c r="B69" s="355" t="s">
        <v>1130</v>
      </c>
      <c r="C69" s="356" t="s">
        <v>13134</v>
      </c>
      <c r="D69" s="357"/>
      <c r="E69" s="355" t="s">
        <v>15751</v>
      </c>
      <c r="F69" s="355" t="s">
        <v>13135</v>
      </c>
      <c r="G69" s="355" t="s">
        <v>13459</v>
      </c>
      <c r="H69" s="358" t="s">
        <v>15885</v>
      </c>
      <c r="I69" s="359" t="s">
        <v>13156</v>
      </c>
      <c r="J69" s="359" t="s">
        <v>13082</v>
      </c>
      <c r="K69" s="360" t="s">
        <v>15886</v>
      </c>
      <c r="L69" s="360" t="s">
        <v>15887</v>
      </c>
      <c r="M69" s="360"/>
      <c r="N69" s="360"/>
      <c r="O69" s="360" t="s">
        <v>15888</v>
      </c>
      <c r="P69" s="361"/>
      <c r="Q69" s="362"/>
      <c r="R69" s="215" t="str">
        <f ca="1">IF(ISERROR($V69),"",OFFSET('Smelter Look-up'!$C$4,$V69-4,0)&amp;"")</f>
        <v>TSK Pretech</v>
      </c>
      <c r="S69" s="222" t="str">
        <f t="shared" ca="1" si="9"/>
        <v>KR</v>
      </c>
      <c r="T69" s="222" t="str">
        <f ca="1">IF(B69="","",IF(ISERROR(MATCH($J69,SorP!$B$1:$B$6230,0)),"",INDIRECT("'SorP'!$A$"&amp;MATCH($J69,SorP!$B$1:$B$6230,0))))</f>
        <v>KR-43</v>
      </c>
      <c r="U69" s="238"/>
      <c r="V69" s="270">
        <f>IF(C69="",NA(),MATCH($B69&amp;$C69,'Smelter Look-up'!$J:$J,0))</f>
        <v>68</v>
      </c>
      <c r="W69" s="271"/>
      <c r="X69" s="271">
        <f t="shared" si="10"/>
        <v>0</v>
      </c>
      <c r="Y69" s="271"/>
      <c r="Z69" s="271"/>
      <c r="AB69" s="273" t="str">
        <f t="shared" si="11"/>
        <v>GoldDS PRETECH Co., Ltd.</v>
      </c>
    </row>
    <row r="70" spans="1:28" s="272" customFormat="1" ht="38.25">
      <c r="A70" s="363" t="s">
        <v>691</v>
      </c>
      <c r="B70" s="355" t="s">
        <v>1130</v>
      </c>
      <c r="C70" s="356" t="s">
        <v>1407</v>
      </c>
      <c r="D70" s="357"/>
      <c r="E70" s="355" t="s">
        <v>15697</v>
      </c>
      <c r="F70" s="355" t="s">
        <v>691</v>
      </c>
      <c r="G70" s="355" t="s">
        <v>13459</v>
      </c>
      <c r="H70" s="358" t="s">
        <v>15889</v>
      </c>
      <c r="I70" s="359" t="s">
        <v>1611</v>
      </c>
      <c r="J70" s="359" t="s">
        <v>10153</v>
      </c>
      <c r="K70" s="360" t="s">
        <v>15625</v>
      </c>
      <c r="L70" s="360" t="s">
        <v>15890</v>
      </c>
      <c r="M70" s="360"/>
      <c r="N70" s="360"/>
      <c r="O70" s="360" t="s">
        <v>15891</v>
      </c>
      <c r="P70" s="361"/>
      <c r="Q70" s="362"/>
      <c r="R70" s="215" t="str">
        <f ca="1">IF(ISERROR($V70),"",OFFSET('Smelter Look-up'!$C$4,$V70-4,0)&amp;"")</f>
        <v>JSC Uralelectromed</v>
      </c>
      <c r="S70" s="222" t="str">
        <f t="shared" ca="1" si="9"/>
        <v>RU</v>
      </c>
      <c r="T70" s="222" t="str">
        <f ca="1">IF(B70="","",IF(ISERROR(MATCH($J70,SorP!$B$1:$B$6230,0)),"",INDIRECT("'SorP'!$A$"&amp;MATCH($J70,SorP!$B$1:$B$6230,0))))</f>
        <v>RU-SVE</v>
      </c>
      <c r="U70" s="238"/>
      <c r="V70" s="270">
        <f>IF(C70="",NA(),MATCH($B70&amp;$C70,'Smelter Look-up'!$J:$J,0))</f>
        <v>127</v>
      </c>
      <c r="W70" s="271"/>
      <c r="X70" s="271">
        <f t="shared" si="10"/>
        <v>0</v>
      </c>
      <c r="Y70" s="271"/>
      <c r="Z70" s="271"/>
      <c r="AB70" s="273" t="str">
        <f t="shared" si="11"/>
        <v>GoldJSC Uralelectromed</v>
      </c>
    </row>
    <row r="71" spans="1:28" s="272" customFormat="1" ht="87.75" customHeight="1">
      <c r="A71" s="363" t="s">
        <v>759</v>
      </c>
      <c r="B71" s="355" t="s">
        <v>1132</v>
      </c>
      <c r="C71" s="356" t="s">
        <v>1030</v>
      </c>
      <c r="D71" s="357"/>
      <c r="E71" s="355" t="s">
        <v>15646</v>
      </c>
      <c r="F71" s="355" t="s">
        <v>759</v>
      </c>
      <c r="G71" s="355" t="s">
        <v>13459</v>
      </c>
      <c r="H71" s="358" t="s">
        <v>15892</v>
      </c>
      <c r="I71" s="359" t="s">
        <v>1742</v>
      </c>
      <c r="J71" s="359" t="s">
        <v>13828</v>
      </c>
      <c r="K71" s="360" t="s">
        <v>15893</v>
      </c>
      <c r="L71" s="360" t="s">
        <v>15894</v>
      </c>
      <c r="M71" s="360"/>
      <c r="N71" s="360"/>
      <c r="O71" s="360" t="s">
        <v>15895</v>
      </c>
      <c r="P71" s="361"/>
      <c r="Q71" s="362"/>
      <c r="R71" s="215" t="str">
        <f ca="1">IF(ISERROR($V71),"",OFFSET('Smelter Look-up'!$C$4,$V71-4,0)&amp;"")</f>
        <v>Ningxia Orient Tantalum Industry Co., Ltd.</v>
      </c>
      <c r="S71" s="222" t="str">
        <f t="shared" ca="1" si="9"/>
        <v>CN</v>
      </c>
      <c r="T71" s="222" t="str">
        <f ca="1">IF(B71="","",IF(ISERROR(MATCH($J71,SorP!$B$1:$B$6230,0)),"",INDIRECT("'SorP'!$A$"&amp;MATCH($J71,SorP!$B$1:$B$6230,0))))</f>
        <v>CN-NX</v>
      </c>
      <c r="U71" s="238"/>
      <c r="V71" s="270">
        <f>IF(C71="",NA(),MATCH($B71&amp;$C71,'Smelter Look-up'!$J:$J,0))</f>
        <v>352</v>
      </c>
      <c r="W71" s="271"/>
      <c r="X71" s="271">
        <f t="shared" si="10"/>
        <v>0</v>
      </c>
      <c r="Y71" s="271"/>
      <c r="Z71" s="271"/>
      <c r="AB71" s="273" t="str">
        <f t="shared" si="11"/>
        <v>TantalumNingxia Orient Tantalum Industry Co., Ltd.</v>
      </c>
    </row>
    <row r="72" spans="1:28" s="272" customFormat="1" ht="85.5" customHeight="1">
      <c r="A72" s="363" t="s">
        <v>1417</v>
      </c>
      <c r="B72" s="355" t="s">
        <v>1132</v>
      </c>
      <c r="C72" s="356" t="s">
        <v>2558</v>
      </c>
      <c r="D72" s="357"/>
      <c r="E72" s="355" t="s">
        <v>15781</v>
      </c>
      <c r="F72" s="355" t="s">
        <v>1417</v>
      </c>
      <c r="G72" s="355" t="s">
        <v>13459</v>
      </c>
      <c r="H72" s="358" t="s">
        <v>15796</v>
      </c>
      <c r="I72" s="359" t="s">
        <v>1761</v>
      </c>
      <c r="J72" s="359" t="s">
        <v>4284</v>
      </c>
      <c r="K72" s="360" t="s">
        <v>15843</v>
      </c>
      <c r="L72" s="360" t="s">
        <v>15844</v>
      </c>
      <c r="M72" s="360"/>
      <c r="N72" s="360"/>
      <c r="O72" s="360" t="s">
        <v>15896</v>
      </c>
      <c r="P72" s="361"/>
      <c r="Q72" s="362"/>
      <c r="R72" s="215" t="str">
        <f ca="1">IF(ISERROR($V72),"",OFFSET('Smelter Look-up'!$C$4,$V72-4,0)&amp;"")</f>
        <v>TANIOBIS GmbH</v>
      </c>
      <c r="S72" s="222" t="str">
        <f t="shared" ca="1" si="9"/>
        <v>DE</v>
      </c>
      <c r="T72" s="222" t="str">
        <f ca="1">IF(B72="","",IF(ISERROR(MATCH($J72,SorP!$B$1:$B$6230,0)),"",INDIRECT("'SorP'!$A$"&amp;MATCH($J72,SorP!$B$1:$B$6230,0))))</f>
        <v>DE-NI</v>
      </c>
      <c r="U72" s="238"/>
      <c r="V72" s="270">
        <f>IF(C72="",NA(),MATCH($B72&amp;$C72,'Smelter Look-up'!$J:$J,0))</f>
        <v>331</v>
      </c>
      <c r="W72" s="271"/>
      <c r="X72" s="271">
        <f t="shared" si="10"/>
        <v>0</v>
      </c>
      <c r="Y72" s="271"/>
      <c r="Z72" s="271"/>
      <c r="AB72" s="273" t="str">
        <f t="shared" si="11"/>
        <v>TantalumH.C. Starck Tantalum and Niobium GmbH</v>
      </c>
    </row>
    <row r="73" spans="1:28" s="272" customFormat="1" ht="72.75" customHeight="1">
      <c r="A73" s="363" t="s">
        <v>1421</v>
      </c>
      <c r="B73" s="355" t="s">
        <v>1132</v>
      </c>
      <c r="C73" s="356" t="s">
        <v>1420</v>
      </c>
      <c r="D73" s="357"/>
      <c r="E73" s="355" t="s">
        <v>15631</v>
      </c>
      <c r="F73" s="355" t="s">
        <v>1421</v>
      </c>
      <c r="G73" s="355" t="s">
        <v>13459</v>
      </c>
      <c r="H73" s="358" t="s">
        <v>15897</v>
      </c>
      <c r="I73" s="359" t="s">
        <v>1764</v>
      </c>
      <c r="J73" s="359" t="s">
        <v>1632</v>
      </c>
      <c r="K73" s="360" t="s">
        <v>15898</v>
      </c>
      <c r="L73" s="360" t="s">
        <v>15899</v>
      </c>
      <c r="M73" s="360"/>
      <c r="N73" s="360"/>
      <c r="O73" s="360" t="s">
        <v>15900</v>
      </c>
      <c r="P73" s="361"/>
      <c r="Q73" s="362"/>
      <c r="R73" s="215" t="str">
        <f ca="1">IF(ISERROR($V73),"",OFFSET('Smelter Look-up'!$C$4,$V73-4,0)&amp;"")</f>
        <v>H.C. Starck Inc.</v>
      </c>
      <c r="S73" s="222" t="str">
        <f t="shared" ca="1" si="9"/>
        <v>US</v>
      </c>
      <c r="T73" s="222" t="str">
        <f ca="1">IF(B73="","",IF(ISERROR(MATCH($J73,SorP!$B$1:$B$6230,0)),"",INDIRECT("'SorP'!$A$"&amp;MATCH($J73,SorP!$B$1:$B$6230,0))))</f>
        <v>US-MA</v>
      </c>
      <c r="U73" s="238"/>
      <c r="V73" s="270">
        <f>IF(C73="",NA(),MATCH($B73&amp;$C73,'Smelter Look-up'!$J:$J,0))</f>
        <v>328</v>
      </c>
      <c r="W73" s="271"/>
      <c r="X73" s="271">
        <f t="shared" si="10"/>
        <v>0</v>
      </c>
      <c r="Y73" s="271"/>
      <c r="Z73" s="271"/>
      <c r="AB73" s="273" t="str">
        <f t="shared" si="11"/>
        <v>TantalumH.C. Starck Inc.</v>
      </c>
    </row>
    <row r="74" spans="1:28" s="272" customFormat="1" ht="76.5">
      <c r="A74" s="363" t="s">
        <v>779</v>
      </c>
      <c r="B74" s="355" t="s">
        <v>1131</v>
      </c>
      <c r="C74" s="356" t="s">
        <v>778</v>
      </c>
      <c r="D74" s="357"/>
      <c r="E74" s="355" t="s">
        <v>15841</v>
      </c>
      <c r="F74" s="355" t="s">
        <v>779</v>
      </c>
      <c r="G74" s="355" t="s">
        <v>13459</v>
      </c>
      <c r="H74" s="358" t="s">
        <v>15901</v>
      </c>
      <c r="I74" s="359" t="s">
        <v>2368</v>
      </c>
      <c r="J74" s="359" t="s">
        <v>11235</v>
      </c>
      <c r="K74" s="360" t="s">
        <v>15902</v>
      </c>
      <c r="L74" s="360" t="s">
        <v>15903</v>
      </c>
      <c r="M74" s="360"/>
      <c r="N74" s="360"/>
      <c r="O74" s="360" t="s">
        <v>15904</v>
      </c>
      <c r="P74" s="361"/>
      <c r="Q74" s="362"/>
      <c r="R74" s="215" t="str">
        <f ca="1">IF(ISERROR($V74),"",OFFSET('Smelter Look-up'!$C$4,$V74-4,0)&amp;"")</f>
        <v>O.M. Manufacturing (Thailand) Co., Ltd.</v>
      </c>
      <c r="S74" s="222" t="str">
        <f t="shared" ca="1" si="9"/>
        <v>TH</v>
      </c>
      <c r="T74" s="222" t="str">
        <f ca="1">IF(B74="","",IF(ISERROR(MATCH($J74,SorP!$B$1:$B$6230,0)),"",INDIRECT("'SorP'!$A$"&amp;MATCH($J74,SorP!$B$1:$B$6230,0))))</f>
        <v>TH-20</v>
      </c>
      <c r="U74" s="238"/>
      <c r="V74" s="270">
        <f>IF(C74="",NA(),MATCH($B74&amp;$C74,'Smelter Look-up'!$J:$J,0))</f>
        <v>468</v>
      </c>
      <c r="W74" s="271"/>
      <c r="X74" s="271">
        <f t="shared" si="10"/>
        <v>0</v>
      </c>
      <c r="Y74" s="271"/>
      <c r="Z74" s="271"/>
      <c r="AB74" s="273" t="str">
        <f t="shared" si="11"/>
        <v>TinO.M. Manufacturing (Thailand) Co., Ltd.</v>
      </c>
    </row>
    <row r="75" spans="1:28" s="272" customFormat="1" ht="76.5">
      <c r="A75" s="363" t="s">
        <v>731</v>
      </c>
      <c r="B75" s="355" t="s">
        <v>1130</v>
      </c>
      <c r="C75" s="356" t="s">
        <v>58</v>
      </c>
      <c r="D75" s="357"/>
      <c r="E75" s="355" t="s">
        <v>15641</v>
      </c>
      <c r="F75" s="355" t="s">
        <v>731</v>
      </c>
      <c r="G75" s="355" t="s">
        <v>13459</v>
      </c>
      <c r="H75" s="358" t="s">
        <v>15905</v>
      </c>
      <c r="I75" s="359" t="s">
        <v>1670</v>
      </c>
      <c r="J75" s="359" t="s">
        <v>2231</v>
      </c>
      <c r="K75" s="360" t="s">
        <v>15906</v>
      </c>
      <c r="L75" s="360" t="s">
        <v>15907</v>
      </c>
      <c r="M75" s="360"/>
      <c r="N75" s="360"/>
      <c r="O75" s="360" t="s">
        <v>15908</v>
      </c>
      <c r="P75" s="361"/>
      <c r="Q75" s="362"/>
      <c r="R75" s="215" t="str">
        <f ca="1">IF(ISERROR($V75),"",OFFSET('Smelter Look-up'!$C$4,$V75-4,0)&amp;"")</f>
        <v>Sumitomo Metal Mining Co., Ltd.</v>
      </c>
      <c r="S75" s="222" t="str">
        <f t="shared" ca="1" si="9"/>
        <v>JP</v>
      </c>
      <c r="T75" s="222" t="str">
        <f ca="1">IF(B75="","",IF(ISERROR(MATCH($J75,SorP!$B$1:$B$6230,0)),"",INDIRECT("'SorP'!$A$"&amp;MATCH($J75,SorP!$B$1:$B$6230,0))))</f>
        <v>JP-38</v>
      </c>
      <c r="U75" s="238"/>
      <c r="V75" s="270">
        <f>IF(C75="",NA(),MATCH($B75&amp;$C75,'Smelter Look-up'!$J:$J,0))</f>
        <v>259</v>
      </c>
      <c r="W75" s="271"/>
      <c r="X75" s="271">
        <f t="shared" si="10"/>
        <v>0</v>
      </c>
      <c r="Y75" s="271"/>
      <c r="Z75" s="271"/>
      <c r="AB75" s="273" t="str">
        <f t="shared" si="11"/>
        <v>GoldSumitomo Metal Mining Co., Ltd.</v>
      </c>
    </row>
    <row r="76" spans="1:28" s="272" customFormat="1" ht="76.5">
      <c r="A76" s="363" t="s">
        <v>742</v>
      </c>
      <c r="B76" s="355" t="s">
        <v>1130</v>
      </c>
      <c r="C76" s="356" t="s">
        <v>13143</v>
      </c>
      <c r="D76" s="357"/>
      <c r="E76" s="355" t="s">
        <v>15641</v>
      </c>
      <c r="F76" s="355" t="s">
        <v>742</v>
      </c>
      <c r="G76" s="355" t="s">
        <v>13459</v>
      </c>
      <c r="H76" s="358" t="s">
        <v>15909</v>
      </c>
      <c r="I76" s="359" t="s">
        <v>13159</v>
      </c>
      <c r="J76" s="359" t="s">
        <v>6733</v>
      </c>
      <c r="K76" s="360" t="s">
        <v>15910</v>
      </c>
      <c r="L76" s="360" t="s">
        <v>15911</v>
      </c>
      <c r="M76" s="360"/>
      <c r="N76" s="360"/>
      <c r="O76" s="360" t="s">
        <v>15912</v>
      </c>
      <c r="P76" s="361"/>
      <c r="Q76" s="362"/>
      <c r="R76" s="215" t="str">
        <f ca="1">IF(ISERROR($V76),"",OFFSET('Smelter Look-up'!$C$4,$V76-4,0)&amp;"")</f>
        <v>Yamakin Co., Ltd.</v>
      </c>
      <c r="S76" s="222" t="str">
        <f t="shared" ca="1" si="9"/>
        <v>JP</v>
      </c>
      <c r="T76" s="222" t="str">
        <f ca="1">IF(B76="","",IF(ISERROR(MATCH($J76,SorP!$B$1:$B$6230,0)),"",INDIRECT("'SorP'!$A$"&amp;MATCH($J76,SorP!$B$1:$B$6230,0))))</f>
        <v>JP-39</v>
      </c>
      <c r="U76" s="238"/>
      <c r="V76" s="270">
        <f>IF(C76="",NA(),MATCH($B76&amp;$C76,'Smelter Look-up'!$J:$J,0))</f>
        <v>295</v>
      </c>
      <c r="W76" s="271"/>
      <c r="X76" s="271">
        <f t="shared" si="10"/>
        <v>0</v>
      </c>
      <c r="Y76" s="271"/>
      <c r="Z76" s="271"/>
      <c r="AB76" s="273" t="str">
        <f t="shared" si="11"/>
        <v>GoldYamakin Co., Ltd.</v>
      </c>
    </row>
    <row r="77" spans="1:28" s="272" customFormat="1" ht="76.5">
      <c r="A77" s="363" t="s">
        <v>650</v>
      </c>
      <c r="B77" s="355" t="s">
        <v>1130</v>
      </c>
      <c r="C77" s="356" t="s">
        <v>2156</v>
      </c>
      <c r="D77" s="357"/>
      <c r="E77" s="355" t="s">
        <v>15641</v>
      </c>
      <c r="F77" s="355" t="s">
        <v>650</v>
      </c>
      <c r="G77" s="355" t="s">
        <v>13459</v>
      </c>
      <c r="H77" s="358" t="s">
        <v>15913</v>
      </c>
      <c r="I77" s="359" t="s">
        <v>1547</v>
      </c>
      <c r="J77" s="359" t="s">
        <v>1548</v>
      </c>
      <c r="K77" s="360" t="s">
        <v>15914</v>
      </c>
      <c r="L77" s="360" t="s">
        <v>15915</v>
      </c>
      <c r="M77" s="360"/>
      <c r="N77" s="360"/>
      <c r="O77" s="360" t="s">
        <v>15916</v>
      </c>
      <c r="P77" s="361"/>
      <c r="Q77" s="362"/>
      <c r="R77" s="215" t="str">
        <f ca="1">IF(ISERROR($V77),"",OFFSET('Smelter Look-up'!$C$4,$V77-4,0)&amp;"")</f>
        <v>Aida Chemical Industries Co., Ltd.</v>
      </c>
      <c r="S77" s="222" t="str">
        <f t="shared" ca="1" si="9"/>
        <v>JP</v>
      </c>
      <c r="T77" s="222" t="str">
        <f ca="1">IF(B77="","",IF(ISERROR(MATCH($J77,SorP!$B$1:$B$6230,0)),"",INDIRECT("'SorP'!$A$"&amp;MATCH($J77,SorP!$B$1:$B$6230,0))))</f>
        <v>JP-13</v>
      </c>
      <c r="U77" s="238"/>
      <c r="V77" s="270">
        <f>IF(C77="",NA(),MATCH($B77&amp;$C77,'Smelter Look-up'!$J:$J,0))</f>
        <v>11</v>
      </c>
      <c r="W77" s="271"/>
      <c r="X77" s="271">
        <f t="shared" si="10"/>
        <v>0</v>
      </c>
      <c r="Y77" s="271"/>
      <c r="Z77" s="271"/>
      <c r="AB77" s="273" t="str">
        <f t="shared" si="11"/>
        <v>GoldAida Chemical Industries Co., Ltd.</v>
      </c>
    </row>
    <row r="78" spans="1:28" s="272" customFormat="1" ht="76.5">
      <c r="A78" s="363" t="s">
        <v>721</v>
      </c>
      <c r="B78" s="355" t="s">
        <v>1130</v>
      </c>
      <c r="C78" s="356" t="s">
        <v>1232</v>
      </c>
      <c r="D78" s="357"/>
      <c r="E78" s="355" t="s">
        <v>15669</v>
      </c>
      <c r="F78" s="355" t="s">
        <v>721</v>
      </c>
      <c r="G78" s="355" t="s">
        <v>13459</v>
      </c>
      <c r="H78" s="358" t="s">
        <v>15917</v>
      </c>
      <c r="I78" s="359" t="s">
        <v>1649</v>
      </c>
      <c r="J78" s="359" t="s">
        <v>6073</v>
      </c>
      <c r="K78" s="360" t="s">
        <v>15918</v>
      </c>
      <c r="L78" s="360" t="s">
        <v>15919</v>
      </c>
      <c r="M78" s="360"/>
      <c r="N78" s="360"/>
      <c r="O78" s="360" t="s">
        <v>15920</v>
      </c>
      <c r="P78" s="361"/>
      <c r="Q78" s="362"/>
      <c r="R78" s="215" t="str">
        <f ca="1">IF(ISERROR($V78),"",OFFSET('Smelter Look-up'!$C$4,$V78-4,0)&amp;"")</f>
        <v>PT Aneka Tambang (Persero) Tbk</v>
      </c>
      <c r="S78" s="222" t="str">
        <f t="shared" ca="1" si="9"/>
        <v>ID</v>
      </c>
      <c r="T78" s="222" t="str">
        <f ca="1">IF(B78="","",IF(ISERROR(MATCH($J78,SorP!$B$1:$B$6230,0)),"",INDIRECT("'SorP'!$A$"&amp;MATCH($J78,SorP!$B$1:$B$6230,0))))</f>
        <v>ID-JK</v>
      </c>
      <c r="U78" s="238"/>
      <c r="V78" s="270">
        <f>IF(C78="",NA(),MATCH($B78&amp;$C78,'Smelter Look-up'!$J:$J,0))</f>
        <v>206</v>
      </c>
      <c r="W78" s="271"/>
      <c r="X78" s="271">
        <f t="shared" si="10"/>
        <v>0</v>
      </c>
      <c r="Y78" s="271"/>
      <c r="Z78" s="271"/>
      <c r="AB78" s="273" t="str">
        <f t="shared" si="11"/>
        <v>GoldPT Aneka Tambang (Persero) Tbk</v>
      </c>
    </row>
    <row r="79" spans="1:28" s="272" customFormat="1" ht="51">
      <c r="A79" s="363" t="s">
        <v>2212</v>
      </c>
      <c r="B79" s="355" t="s">
        <v>1130</v>
      </c>
      <c r="C79" s="356" t="s">
        <v>2211</v>
      </c>
      <c r="D79" s="357"/>
      <c r="E79" s="355" t="s">
        <v>15722</v>
      </c>
      <c r="F79" s="355" t="s">
        <v>2212</v>
      </c>
      <c r="G79" s="355" t="s">
        <v>13459</v>
      </c>
      <c r="H79" s="358" t="s">
        <v>15921</v>
      </c>
      <c r="I79" s="359" t="s">
        <v>2213</v>
      </c>
      <c r="J79" s="359" t="s">
        <v>7164</v>
      </c>
      <c r="K79" s="360" t="s">
        <v>15922</v>
      </c>
      <c r="L79" s="360" t="s">
        <v>15923</v>
      </c>
      <c r="M79" s="360"/>
      <c r="N79" s="360"/>
      <c r="O79" s="360" t="s">
        <v>15924</v>
      </c>
      <c r="P79" s="361"/>
      <c r="Q79" s="362"/>
      <c r="R79" s="215" t="str">
        <f ca="1">IF(ISERROR($V79),"",OFFSET('Smelter Look-up'!$C$4,$V79-4,0)&amp;"")</f>
        <v>Kazakhmys Smelting LLC</v>
      </c>
      <c r="S79" s="222" t="str">
        <f t="shared" ca="1" si="9"/>
        <v>KZ</v>
      </c>
      <c r="T79" s="222" t="str">
        <f ca="1">IF(B79="","",IF(ISERROR(MATCH($J79,SorP!$B$1:$B$6230,0)),"",INDIRECT("'SorP'!$A$"&amp;MATCH($J79,SorP!$B$1:$B$6230,0))))</f>
        <v>KZ-KAR</v>
      </c>
      <c r="U79" s="238"/>
      <c r="V79" s="270">
        <f>IF(C79="",NA(),MATCH($B79&amp;$C79,'Smelter Look-up'!$J:$J,0))</f>
        <v>131</v>
      </c>
      <c r="W79" s="271"/>
      <c r="X79" s="271">
        <f t="shared" si="10"/>
        <v>0</v>
      </c>
      <c r="Y79" s="271"/>
      <c r="Z79" s="271"/>
      <c r="AB79" s="273" t="str">
        <f t="shared" si="11"/>
        <v>GoldKazakhmys Smelting LLC</v>
      </c>
    </row>
    <row r="80" spans="1:28" s="272" customFormat="1" ht="51">
      <c r="A80" s="363" t="s">
        <v>697</v>
      </c>
      <c r="B80" s="355" t="s">
        <v>1130</v>
      </c>
      <c r="C80" s="356" t="s">
        <v>846</v>
      </c>
      <c r="D80" s="357"/>
      <c r="E80" s="355" t="s">
        <v>15925</v>
      </c>
      <c r="F80" s="355" t="s">
        <v>697</v>
      </c>
      <c r="G80" s="355" t="s">
        <v>13459</v>
      </c>
      <c r="H80" s="358" t="s">
        <v>15926</v>
      </c>
      <c r="I80" s="359" t="s">
        <v>1617</v>
      </c>
      <c r="J80" s="359" t="s">
        <v>13074</v>
      </c>
      <c r="K80" s="360" t="s">
        <v>15927</v>
      </c>
      <c r="L80" s="360" t="s">
        <v>15928</v>
      </c>
      <c r="M80" s="360"/>
      <c r="N80" s="360"/>
      <c r="O80" s="360" t="s">
        <v>15929</v>
      </c>
      <c r="P80" s="361"/>
      <c r="Q80" s="362"/>
      <c r="R80" s="215" t="str">
        <f ca="1">IF(ISERROR($V80),"",OFFSET('Smelter Look-up'!$C$4,$V80-4,0)&amp;"")</f>
        <v>Kyrgyzaltyn JSC</v>
      </c>
      <c r="S80" s="222" t="str">
        <f t="shared" ca="1" si="9"/>
        <v>KG</v>
      </c>
      <c r="T80" s="222" t="str">
        <f ca="1">IF(B80="","",IF(ISERROR(MATCH($J80,SorP!$B$1:$B$6230,0)),"",INDIRECT("'SorP'!$A$"&amp;MATCH($J80,SorP!$B$1:$B$6230,0))))</f>
        <v>KG-C</v>
      </c>
      <c r="U80" s="238"/>
      <c r="V80" s="270">
        <f>IF(C80="",NA(),MATCH($B80&amp;$C80,'Smelter Look-up'!$J:$J,0))</f>
        <v>144</v>
      </c>
      <c r="W80" s="271"/>
      <c r="X80" s="271">
        <f t="shared" si="10"/>
        <v>0</v>
      </c>
      <c r="Y80" s="271"/>
      <c r="Z80" s="271"/>
      <c r="AB80" s="273" t="str">
        <f t="shared" si="11"/>
        <v>GoldKyrgyzaltyn JSC</v>
      </c>
    </row>
    <row r="81" spans="1:28" s="272" customFormat="1" ht="63.75">
      <c r="A81" s="363" t="s">
        <v>698</v>
      </c>
      <c r="B81" s="355" t="s">
        <v>1130</v>
      </c>
      <c r="C81" s="356" t="s">
        <v>2329</v>
      </c>
      <c r="D81" s="357"/>
      <c r="E81" s="355" t="s">
        <v>15930</v>
      </c>
      <c r="F81" s="355" t="s">
        <v>698</v>
      </c>
      <c r="G81" s="355" t="s">
        <v>13459</v>
      </c>
      <c r="H81" s="358" t="s">
        <v>15931</v>
      </c>
      <c r="I81" s="359" t="s">
        <v>1618</v>
      </c>
      <c r="J81" s="359" t="s">
        <v>10297</v>
      </c>
      <c r="K81" s="360" t="s">
        <v>15932</v>
      </c>
      <c r="L81" s="360" t="s">
        <v>15933</v>
      </c>
      <c r="M81" s="360"/>
      <c r="N81" s="360"/>
      <c r="O81" s="360" t="s">
        <v>15934</v>
      </c>
      <c r="P81" s="361"/>
      <c r="Q81" s="362"/>
      <c r="R81" s="215" t="str">
        <f ca="1">IF(ISERROR($V81),"",OFFSET('Smelter Look-up'!$C$4,$V81-4,0)&amp;"")</f>
        <v>L'azurde Company For Jewelry</v>
      </c>
      <c r="S81" s="222" t="str">
        <f t="shared" ref="S81:S111" ca="1" si="12">IF(B81="","",IF(ISERROR(MATCH($E81,CL,0)),"Unknown",INDIRECT("'C'!$A$"&amp;MATCH($E81,CL,0)+1)))</f>
        <v>SA</v>
      </c>
      <c r="T81" s="222" t="str">
        <f ca="1">IF(B81="","",IF(ISERROR(MATCH($J81,SorP!$B$1:$B$6230,0)),"",INDIRECT("'SorP'!$A$"&amp;MATCH($J81,SorP!$B$1:$B$6230,0))))</f>
        <v>SA-01</v>
      </c>
      <c r="U81" s="238"/>
      <c r="V81" s="270">
        <f>IF(C81="",NA(),MATCH($B81&amp;$C81,'Smelter Look-up'!$J:$J,0))</f>
        <v>148</v>
      </c>
      <c r="W81" s="271"/>
      <c r="X81" s="271">
        <f t="shared" ref="X81:X111" si="13">IF(AND(C81="Smelter not listed",OR(LEN(D81)=0,LEN(E81)=0)),1,0)</f>
        <v>0</v>
      </c>
      <c r="Y81" s="271"/>
      <c r="Z81" s="271"/>
      <c r="AB81" s="273" t="str">
        <f t="shared" ref="AB81:AB111" si="14">B81&amp;C81</f>
        <v>GoldL'azurde Company For Jewelry</v>
      </c>
    </row>
    <row r="82" spans="1:28" s="272" customFormat="1" ht="84.75" customHeight="1">
      <c r="A82" s="363" t="s">
        <v>1431</v>
      </c>
      <c r="B82" s="355" t="s">
        <v>1133</v>
      </c>
      <c r="C82" s="356" t="s">
        <v>1430</v>
      </c>
      <c r="D82" s="357"/>
      <c r="E82" s="355" t="s">
        <v>15646</v>
      </c>
      <c r="F82" s="355" t="s">
        <v>1431</v>
      </c>
      <c r="G82" s="355" t="s">
        <v>13459</v>
      </c>
      <c r="H82" s="358" t="s">
        <v>15935</v>
      </c>
      <c r="I82" s="359" t="s">
        <v>1787</v>
      </c>
      <c r="J82" s="359" t="s">
        <v>13842</v>
      </c>
      <c r="K82" s="360" t="s">
        <v>15936</v>
      </c>
      <c r="L82" s="360" t="s">
        <v>15937</v>
      </c>
      <c r="M82" s="360"/>
      <c r="N82" s="360"/>
      <c r="O82" s="360" t="s">
        <v>15938</v>
      </c>
      <c r="P82" s="361"/>
      <c r="Q82" s="362"/>
      <c r="R82" s="215" t="str">
        <f ca="1">IF(ISERROR($V82),"",OFFSET('Smelter Look-up'!$C$4,$V82-4,0)&amp;"")</f>
        <v>Jiangwu H.C. Starck Tungsten Products Co., Ltd.</v>
      </c>
      <c r="S82" s="222" t="str">
        <f t="shared" ca="1" si="12"/>
        <v>CN</v>
      </c>
      <c r="T82" s="222" t="str">
        <f ca="1">IF(B82="","",IF(ISERROR(MATCH($J82,SorP!$B$1:$B$6230,0)),"",INDIRECT("'SorP'!$A$"&amp;MATCH($J82,SorP!$B$1:$B$6230,0))))</f>
        <v>CN-JX</v>
      </c>
      <c r="U82" s="238"/>
      <c r="V82" s="270">
        <f>IF(C82="",NA(),MATCH($B82&amp;$C82,'Smelter Look-up'!$J:$J,0))</f>
        <v>573</v>
      </c>
      <c r="W82" s="271"/>
      <c r="X82" s="271">
        <f t="shared" si="13"/>
        <v>0</v>
      </c>
      <c r="Y82" s="271"/>
      <c r="Z82" s="271"/>
      <c r="AB82" s="273" t="str">
        <f t="shared" si="14"/>
        <v>TungstenJiangwu H.C. Starck Tungsten Products Co., Ltd.</v>
      </c>
    </row>
    <row r="83" spans="1:28" s="272" customFormat="1" ht="78" customHeight="1">
      <c r="A83" s="363" t="s">
        <v>1419</v>
      </c>
      <c r="B83" s="355" t="s">
        <v>1132</v>
      </c>
      <c r="C83" s="356" t="s">
        <v>1418</v>
      </c>
      <c r="D83" s="357"/>
      <c r="E83" s="355" t="s">
        <v>15781</v>
      </c>
      <c r="F83" s="355" t="s">
        <v>1419</v>
      </c>
      <c r="G83" s="355" t="s">
        <v>13459</v>
      </c>
      <c r="H83" s="358" t="s">
        <v>15939</v>
      </c>
      <c r="I83" s="359" t="s">
        <v>1763</v>
      </c>
      <c r="J83" s="359" t="s">
        <v>4262</v>
      </c>
      <c r="K83" s="360" t="s">
        <v>15940</v>
      </c>
      <c r="L83" s="360" t="s">
        <v>15941</v>
      </c>
      <c r="M83" s="360"/>
      <c r="N83" s="360"/>
      <c r="O83" s="360" t="s">
        <v>15942</v>
      </c>
      <c r="P83" s="361"/>
      <c r="Q83" s="362"/>
      <c r="R83" s="215" t="str">
        <f ca="1">IF(ISERROR($V83),"",OFFSET('Smelter Look-up'!$C$4,$V83-4,0)&amp;"")</f>
        <v>H.C. Starck Hermsdorf GmbH</v>
      </c>
      <c r="S83" s="222" t="str">
        <f t="shared" ca="1" si="12"/>
        <v>DE</v>
      </c>
      <c r="T83" s="222" t="str">
        <f ca="1">IF(B83="","",IF(ISERROR(MATCH($J83,SorP!$B$1:$B$6230,0)),"",INDIRECT("'SorP'!$A$"&amp;MATCH($J83,SorP!$B$1:$B$6230,0))))</f>
        <v>DE-TH</v>
      </c>
      <c r="U83" s="238"/>
      <c r="V83" s="270">
        <f>IF(C83="",NA(),MATCH($B83&amp;$C83,'Smelter Look-up'!$J:$J,0))</f>
        <v>327</v>
      </c>
      <c r="W83" s="271"/>
      <c r="X83" s="271">
        <f t="shared" si="13"/>
        <v>0</v>
      </c>
      <c r="Y83" s="271"/>
      <c r="Z83" s="271"/>
      <c r="AB83" s="273" t="str">
        <f t="shared" si="14"/>
        <v>TantalumH.C. Starck Hermsdorf GmbH</v>
      </c>
    </row>
    <row r="84" spans="1:28" s="272" customFormat="1" ht="68.25" customHeight="1">
      <c r="A84" s="363" t="s">
        <v>2569</v>
      </c>
      <c r="B84" s="355" t="s">
        <v>1133</v>
      </c>
      <c r="C84" s="356" t="s">
        <v>13154</v>
      </c>
      <c r="D84" s="357"/>
      <c r="E84" s="355" t="s">
        <v>15646</v>
      </c>
      <c r="F84" s="355" t="s">
        <v>2569</v>
      </c>
      <c r="G84" s="355" t="s">
        <v>13459</v>
      </c>
      <c r="H84" s="358" t="s">
        <v>15943</v>
      </c>
      <c r="I84" s="359" t="s">
        <v>1787</v>
      </c>
      <c r="J84" s="359" t="s">
        <v>13842</v>
      </c>
      <c r="K84" s="360" t="s">
        <v>15944</v>
      </c>
      <c r="L84" s="360" t="s">
        <v>15945</v>
      </c>
      <c r="M84" s="360"/>
      <c r="N84" s="360"/>
      <c r="O84" s="360" t="s">
        <v>15946</v>
      </c>
      <c r="P84" s="361"/>
      <c r="Q84" s="362"/>
      <c r="R84" s="215" t="str">
        <f ca="1">IF(ISERROR($V84),"",OFFSET('Smelter Look-up'!$C$4,$V84-4,0)&amp;"")</f>
        <v>Ganzhou Haichuang Tungsten Co., Ltd.</v>
      </c>
      <c r="S84" s="222" t="str">
        <f t="shared" ca="1" si="12"/>
        <v>CN</v>
      </c>
      <c r="T84" s="222" t="str">
        <f ca="1">IF(B84="","",IF(ISERROR(MATCH($J84,SorP!$B$1:$B$6230,0)),"",INDIRECT("'SorP'!$A$"&amp;MATCH($J84,SorP!$B$1:$B$6230,0))))</f>
        <v>CN-JX</v>
      </c>
      <c r="U84" s="238"/>
      <c r="V84" s="270">
        <f>IF(C84="",NA(),MATCH($B84&amp;$C84,'Smelter Look-up'!$J:$J,0))</f>
        <v>555</v>
      </c>
      <c r="W84" s="271"/>
      <c r="X84" s="271">
        <f t="shared" si="13"/>
        <v>0</v>
      </c>
      <c r="Y84" s="271"/>
      <c r="Z84" s="271"/>
      <c r="AB84" s="273" t="str">
        <f t="shared" si="14"/>
        <v>TungstenGanzhou Haichuang Tungsten Co., Ltd.</v>
      </c>
    </row>
    <row r="85" spans="1:28" s="272" customFormat="1" ht="75.75" customHeight="1">
      <c r="A85" s="363" t="s">
        <v>142</v>
      </c>
      <c r="B85" s="355" t="s">
        <v>1133</v>
      </c>
      <c r="C85" s="356" t="s">
        <v>153</v>
      </c>
      <c r="D85" s="357"/>
      <c r="E85" s="355" t="s">
        <v>15646</v>
      </c>
      <c r="F85" s="355" t="s">
        <v>142</v>
      </c>
      <c r="G85" s="355" t="s">
        <v>13459</v>
      </c>
      <c r="H85" s="358" t="s">
        <v>15947</v>
      </c>
      <c r="I85" s="359" t="s">
        <v>1787</v>
      </c>
      <c r="J85" s="359" t="s">
        <v>13842</v>
      </c>
      <c r="K85" s="360" t="s">
        <v>15936</v>
      </c>
      <c r="L85" s="360" t="s">
        <v>15937</v>
      </c>
      <c r="M85" s="360"/>
      <c r="N85" s="360"/>
      <c r="O85" s="360" t="s">
        <v>15948</v>
      </c>
      <c r="P85" s="361"/>
      <c r="Q85" s="362"/>
      <c r="R85" s="215" t="str">
        <f ca="1">IF(ISERROR($V85),"",OFFSET('Smelter Look-up'!$C$4,$V85-4,0)&amp;"")</f>
        <v>Jiangxi Xinsheng Tungsten Industry Co., Ltd.</v>
      </c>
      <c r="S85" s="222" t="str">
        <f t="shared" ca="1" si="12"/>
        <v>CN</v>
      </c>
      <c r="T85" s="222" t="str">
        <f ca="1">IF(B85="","",IF(ISERROR(MATCH($J85,SorP!$B$1:$B$6230,0)),"",INDIRECT("'SorP'!$A$"&amp;MATCH($J85,SorP!$B$1:$B$6230,0))))</f>
        <v>CN-JX</v>
      </c>
      <c r="U85" s="238"/>
      <c r="V85" s="270">
        <f>IF(C85="",NA(),MATCH($B85&amp;$C85,'Smelter Look-up'!$J:$J,0))</f>
        <v>579</v>
      </c>
      <c r="W85" s="271"/>
      <c r="X85" s="271">
        <f t="shared" si="13"/>
        <v>0</v>
      </c>
      <c r="Y85" s="271"/>
      <c r="Z85" s="271"/>
      <c r="AB85" s="273" t="str">
        <f t="shared" si="14"/>
        <v>TungstenJiangxi Xinsheng Tungsten Industry Co., Ltd.</v>
      </c>
    </row>
    <row r="86" spans="1:28" s="272" customFormat="1" ht="81" customHeight="1">
      <c r="A86" s="363" t="s">
        <v>1857</v>
      </c>
      <c r="B86" s="355" t="s">
        <v>1133</v>
      </c>
      <c r="C86" s="356" t="s">
        <v>1856</v>
      </c>
      <c r="D86" s="357"/>
      <c r="E86" s="355" t="s">
        <v>15631</v>
      </c>
      <c r="F86" s="355" t="s">
        <v>1857</v>
      </c>
      <c r="G86" s="355" t="s">
        <v>13459</v>
      </c>
      <c r="H86" s="358" t="s">
        <v>15949</v>
      </c>
      <c r="I86" s="359" t="s">
        <v>1858</v>
      </c>
      <c r="J86" s="359" t="s">
        <v>1624</v>
      </c>
      <c r="K86" s="360" t="s">
        <v>15950</v>
      </c>
      <c r="L86" s="360" t="s">
        <v>15951</v>
      </c>
      <c r="M86" s="360"/>
      <c r="N86" s="360"/>
      <c r="O86" s="360" t="s">
        <v>15952</v>
      </c>
      <c r="P86" s="361"/>
      <c r="Q86" s="362"/>
      <c r="R86" s="215" t="str">
        <f ca="1">IF(ISERROR($V86),"",OFFSET('Smelter Look-up'!$C$4,$V86-4,0)&amp;"")</f>
        <v>Niagara Refining LLC</v>
      </c>
      <c r="S86" s="222" t="str">
        <f t="shared" ca="1" si="12"/>
        <v>US</v>
      </c>
      <c r="T86" s="222" t="str">
        <f ca="1">IF(B86="","",IF(ISERROR(MATCH($J86,SorP!$B$1:$B$6230,0)),"",INDIRECT("'SorP'!$A$"&amp;MATCH($J86,SorP!$B$1:$B$6230,0))))</f>
        <v>US-NY</v>
      </c>
      <c r="U86" s="238"/>
      <c r="V86" s="270">
        <f>IF(C86="",NA(),MATCH($B86&amp;$C86,'Smelter Look-up'!$J:$J,0))</f>
        <v>590</v>
      </c>
      <c r="W86" s="271"/>
      <c r="X86" s="271">
        <f t="shared" si="13"/>
        <v>0</v>
      </c>
      <c r="Y86" s="271"/>
      <c r="Z86" s="271"/>
      <c r="AB86" s="273" t="str">
        <f t="shared" si="14"/>
        <v>TungstenNiagara Refining LLC</v>
      </c>
    </row>
    <row r="87" spans="1:28" s="272" customFormat="1" ht="63.75">
      <c r="A87" s="363" t="s">
        <v>1402</v>
      </c>
      <c r="B87" s="355" t="s">
        <v>1131</v>
      </c>
      <c r="C87" s="356" t="s">
        <v>1401</v>
      </c>
      <c r="D87" s="357"/>
      <c r="E87" s="355" t="s">
        <v>15953</v>
      </c>
      <c r="F87" s="355" t="s">
        <v>1402</v>
      </c>
      <c r="G87" s="355" t="s">
        <v>13459</v>
      </c>
      <c r="H87" s="358" t="s">
        <v>15954</v>
      </c>
      <c r="I87" s="359" t="s">
        <v>13160</v>
      </c>
      <c r="J87" s="359" t="s">
        <v>9659</v>
      </c>
      <c r="K87" s="360" t="s">
        <v>15955</v>
      </c>
      <c r="L87" s="360" t="s">
        <v>15956</v>
      </c>
      <c r="M87" s="360"/>
      <c r="N87" s="360"/>
      <c r="O87" s="360" t="s">
        <v>15957</v>
      </c>
      <c r="P87" s="361"/>
      <c r="Q87" s="362"/>
      <c r="R87" s="215" t="str">
        <f ca="1">IF(ISERROR($V87),"",OFFSET('Smelter Look-up'!$C$4,$V87-4,0)&amp;"")</f>
        <v>O.M. Manufacturing Philippines, Inc.</v>
      </c>
      <c r="S87" s="222" t="str">
        <f t="shared" ca="1" si="12"/>
        <v>PH</v>
      </c>
      <c r="T87" s="222" t="str">
        <f ca="1">IF(B87="","",IF(ISERROR(MATCH($J87,SorP!$B$1:$B$6230,0)),"",INDIRECT("'SorP'!$A$"&amp;MATCH($J87,SorP!$B$1:$B$6230,0))))</f>
        <v>PH-CAV</v>
      </c>
      <c r="U87" s="238"/>
      <c r="V87" s="270">
        <f>IF(C87="",NA(),MATCH($B87&amp;$C87,'Smelter Look-up'!$J:$J,0))</f>
        <v>469</v>
      </c>
      <c r="W87" s="271"/>
      <c r="X87" s="271">
        <f t="shared" si="13"/>
        <v>0</v>
      </c>
      <c r="Y87" s="271"/>
      <c r="Z87" s="271"/>
      <c r="AB87" s="273" t="str">
        <f t="shared" si="14"/>
        <v>TinO.M. Manufacturing Philippines, Inc.</v>
      </c>
    </row>
    <row r="88" spans="1:28" s="272" customFormat="1" ht="51">
      <c r="A88" s="363" t="s">
        <v>14107</v>
      </c>
      <c r="B88" s="355" t="s">
        <v>1130</v>
      </c>
      <c r="C88" s="356" t="s">
        <v>14089</v>
      </c>
      <c r="D88" s="357"/>
      <c r="E88" s="355" t="s">
        <v>15958</v>
      </c>
      <c r="F88" s="355" t="s">
        <v>14107</v>
      </c>
      <c r="G88" s="355" t="s">
        <v>13459</v>
      </c>
      <c r="H88" s="358" t="s">
        <v>15959</v>
      </c>
      <c r="I88" s="359" t="s">
        <v>14115</v>
      </c>
      <c r="J88" s="359" t="s">
        <v>1734</v>
      </c>
      <c r="K88" s="360" t="s">
        <v>15625</v>
      </c>
      <c r="L88" s="360" t="s">
        <v>15960</v>
      </c>
      <c r="M88" s="360"/>
      <c r="N88" s="360"/>
      <c r="O88" s="360" t="s">
        <v>15712</v>
      </c>
      <c r="P88" s="361"/>
      <c r="Q88" s="362"/>
      <c r="R88" s="215" t="str">
        <f ca="1">IF(ISERROR($V88),"",OFFSET('Smelter Look-up'!$C$4,$V88-4,0)&amp;"")</f>
        <v>Shirpur Gold Refinery Ltd.</v>
      </c>
      <c r="S88" s="222" t="str">
        <f t="shared" ca="1" si="12"/>
        <v>IN</v>
      </c>
      <c r="T88" s="222" t="str">
        <f ca="1">IF(B88="","",IF(ISERROR(MATCH($J88,SorP!$B$1:$B$6230,0)),"",INDIRECT("'SorP'!$A$"&amp;MATCH($J88,SorP!$B$1:$B$6230,0))))</f>
        <v>IN-MH</v>
      </c>
      <c r="U88" s="238"/>
      <c r="V88" s="270">
        <f>IF(C88="",NA(),MATCH($B88&amp;$C88,'Smelter Look-up'!$J:$J,0))</f>
        <v>244</v>
      </c>
      <c r="W88" s="271"/>
      <c r="X88" s="271">
        <f t="shared" si="13"/>
        <v>0</v>
      </c>
      <c r="Y88" s="271"/>
      <c r="Z88" s="271"/>
      <c r="AB88" s="273" t="str">
        <f t="shared" si="14"/>
        <v>GoldShirpur Gold Refinery Ltd.</v>
      </c>
    </row>
    <row r="89" spans="1:28" s="272" customFormat="1" ht="85.5" customHeight="1">
      <c r="A89" s="363" t="s">
        <v>2222</v>
      </c>
      <c r="B89" s="355" t="s">
        <v>1130</v>
      </c>
      <c r="C89" s="356" t="s">
        <v>2219</v>
      </c>
      <c r="D89" s="357"/>
      <c r="E89" s="355" t="s">
        <v>15781</v>
      </c>
      <c r="F89" s="355" t="s">
        <v>2222</v>
      </c>
      <c r="G89" s="355" t="s">
        <v>13459</v>
      </c>
      <c r="H89" s="358" t="s">
        <v>15961</v>
      </c>
      <c r="I89" s="359" t="s">
        <v>1784</v>
      </c>
      <c r="J89" s="359" t="s">
        <v>4271</v>
      </c>
      <c r="K89" s="360" t="s">
        <v>15962</v>
      </c>
      <c r="L89" s="360" t="s">
        <v>15963</v>
      </c>
      <c r="M89" s="360"/>
      <c r="N89" s="360"/>
      <c r="O89" s="360" t="s">
        <v>15964</v>
      </c>
      <c r="P89" s="361"/>
      <c r="Q89" s="362"/>
      <c r="R89" s="215" t="str">
        <f ca="1">IF(ISERROR($V89),"",OFFSET('Smelter Look-up'!$C$4,$V89-4,0)&amp;"")</f>
        <v>SAXONIA Edelmetalle GmbH</v>
      </c>
      <c r="S89" s="222" t="str">
        <f t="shared" ca="1" si="12"/>
        <v>DE</v>
      </c>
      <c r="T89" s="222" t="str">
        <f ca="1">IF(B89="","",IF(ISERROR(MATCH($J89,SorP!$B$1:$B$6230,0)),"",INDIRECT("'SorP'!$A$"&amp;MATCH($J89,SorP!$B$1:$B$6230,0))))</f>
        <v>DE-SN</v>
      </c>
      <c r="U89" s="238"/>
      <c r="V89" s="270">
        <f>IF(C89="",NA(),MATCH($B89&amp;$C89,'Smelter Look-up'!$J:$J,0))</f>
        <v>226</v>
      </c>
      <c r="W89" s="271"/>
      <c r="X89" s="271">
        <f t="shared" si="13"/>
        <v>0</v>
      </c>
      <c r="Y89" s="271"/>
      <c r="Z89" s="271"/>
      <c r="AB89" s="273" t="str">
        <f t="shared" si="14"/>
        <v>GoldSAXONIA Edelmetalle GmbH</v>
      </c>
    </row>
    <row r="90" spans="1:28" s="272" customFormat="1" ht="63.75">
      <c r="A90" s="363" t="s">
        <v>14028</v>
      </c>
      <c r="B90" s="355" t="s">
        <v>1131</v>
      </c>
      <c r="C90" s="356" t="s">
        <v>14027</v>
      </c>
      <c r="D90" s="357"/>
      <c r="E90" s="355" t="s">
        <v>15646</v>
      </c>
      <c r="F90" s="355" t="s">
        <v>14028</v>
      </c>
      <c r="G90" s="355" t="s">
        <v>13459</v>
      </c>
      <c r="H90" s="358" t="s">
        <v>15965</v>
      </c>
      <c r="I90" s="359" t="s">
        <v>14066</v>
      </c>
      <c r="J90" s="359" t="s">
        <v>13840</v>
      </c>
      <c r="K90" s="360" t="s">
        <v>15966</v>
      </c>
      <c r="L90" s="360" t="s">
        <v>15967</v>
      </c>
      <c r="M90" s="360"/>
      <c r="N90" s="360"/>
      <c r="O90" s="360" t="s">
        <v>15712</v>
      </c>
      <c r="P90" s="361"/>
      <c r="Q90" s="362"/>
      <c r="R90" s="215" t="str">
        <f ca="1">IF(ISERROR($V90),"",OFFSET('Smelter Look-up'!$C$4,$V90-4,0)&amp;"")</f>
        <v>Ma'anshan Weitai Tin Co., Ltd.</v>
      </c>
      <c r="S90" s="222" t="str">
        <f t="shared" ca="1" si="12"/>
        <v>CN</v>
      </c>
      <c r="T90" s="222" t="str">
        <f ca="1">IF(B90="","",IF(ISERROR(MATCH($J90,SorP!$B$1:$B$6230,0)),"",INDIRECT("'SorP'!$A$"&amp;MATCH($J90,SorP!$B$1:$B$6230,0))))</f>
        <v>CN-AH</v>
      </c>
      <c r="U90" s="238"/>
      <c r="V90" s="270">
        <f>IF(C90="",NA(),MATCH($B90&amp;$C90,'Smelter Look-up'!$J:$J,0))</f>
        <v>447</v>
      </c>
      <c r="W90" s="271"/>
      <c r="X90" s="271">
        <f t="shared" si="13"/>
        <v>0</v>
      </c>
      <c r="Y90" s="271"/>
      <c r="Z90" s="271"/>
      <c r="AB90" s="273" t="str">
        <f t="shared" si="14"/>
        <v>TinMa'anshan Weitai Tin Co., Ltd.</v>
      </c>
    </row>
    <row r="91" spans="1:28" s="272" customFormat="1" ht="63.75">
      <c r="A91" s="363" t="s">
        <v>678</v>
      </c>
      <c r="B91" s="355" t="s">
        <v>1130</v>
      </c>
      <c r="C91" s="356" t="s">
        <v>1039</v>
      </c>
      <c r="D91" s="357"/>
      <c r="E91" s="355" t="s">
        <v>15781</v>
      </c>
      <c r="F91" s="355" t="s">
        <v>678</v>
      </c>
      <c r="G91" s="355" t="s">
        <v>13459</v>
      </c>
      <c r="H91" s="358" t="s">
        <v>15968</v>
      </c>
      <c r="I91" s="359" t="s">
        <v>1549</v>
      </c>
      <c r="J91" s="359" t="s">
        <v>1550</v>
      </c>
      <c r="K91" s="360" t="s">
        <v>15969</v>
      </c>
      <c r="L91" s="360" t="s">
        <v>15970</v>
      </c>
      <c r="M91" s="360"/>
      <c r="N91" s="360"/>
      <c r="O91" s="360" t="s">
        <v>15971</v>
      </c>
      <c r="P91" s="361"/>
      <c r="Q91" s="362"/>
      <c r="R91" s="215" t="str">
        <f ca="1">IF(ISERROR($V91),"",OFFSET('Smelter Look-up'!$C$4,$V91-4,0)&amp;"")</f>
        <v>Heimerle + Meule GmbH</v>
      </c>
      <c r="S91" s="222" t="str">
        <f t="shared" ca="1" si="12"/>
        <v>DE</v>
      </c>
      <c r="T91" s="222" t="str">
        <f ca="1">IF(B91="","",IF(ISERROR(MATCH($J91,SorP!$B$1:$B$6230,0)),"",INDIRECT("'SorP'!$A$"&amp;MATCH($J91,SorP!$B$1:$B$6230,0))))</f>
        <v>DE-BW</v>
      </c>
      <c r="U91" s="238"/>
      <c r="V91" s="270">
        <f>IF(C91="",NA(),MATCH($B91&amp;$C91,'Smelter Look-up'!$J:$J,0))</f>
        <v>97</v>
      </c>
      <c r="W91" s="271"/>
      <c r="X91" s="271">
        <f t="shared" si="13"/>
        <v>0</v>
      </c>
      <c r="Y91" s="271"/>
      <c r="Z91" s="271"/>
      <c r="AB91" s="273" t="str">
        <f t="shared" si="14"/>
        <v>GoldHeimerle + Meule GmbH</v>
      </c>
    </row>
    <row r="92" spans="1:28" s="272" customFormat="1" ht="51">
      <c r="A92" s="363" t="s">
        <v>804</v>
      </c>
      <c r="B92" s="355" t="s">
        <v>1131</v>
      </c>
      <c r="C92" s="356" t="s">
        <v>14026</v>
      </c>
      <c r="D92" s="357"/>
      <c r="E92" s="355" t="s">
        <v>15669</v>
      </c>
      <c r="F92" s="355" t="s">
        <v>804</v>
      </c>
      <c r="G92" s="355" t="s">
        <v>13459</v>
      </c>
      <c r="H92" s="358" t="s">
        <v>15972</v>
      </c>
      <c r="I92" s="359" t="s">
        <v>1806</v>
      </c>
      <c r="J92" s="359" t="s">
        <v>6135</v>
      </c>
      <c r="K92" s="360" t="s">
        <v>15973</v>
      </c>
      <c r="L92" s="360" t="s">
        <v>15974</v>
      </c>
      <c r="M92" s="360"/>
      <c r="N92" s="360"/>
      <c r="O92" s="360" t="s">
        <v>15975</v>
      </c>
      <c r="P92" s="361"/>
      <c r="Q92" s="362"/>
      <c r="R92" s="215" t="str">
        <f ca="1">IF(ISERROR($V92),"",OFFSET('Smelter Look-up'!$C$4,$V92-4,0)&amp;"")</f>
        <v>PT Timah Tbk Kundur</v>
      </c>
      <c r="S92" s="222" t="str">
        <f t="shared" ca="1" si="12"/>
        <v>ID</v>
      </c>
      <c r="T92" s="222" t="str">
        <f ca="1">IF(B92="","",IF(ISERROR(MATCH($J92,SorP!$B$1:$B$6230,0)),"",INDIRECT("'SorP'!$A$"&amp;MATCH($J92,SorP!$B$1:$B$6230,0))))</f>
        <v>ID-RI</v>
      </c>
      <c r="U92" s="238"/>
      <c r="V92" s="270">
        <f>IF(C92="",NA(),MATCH($B92&amp;$C92,'Smelter Look-up'!$J:$J,0))</f>
        <v>491</v>
      </c>
      <c r="W92" s="271"/>
      <c r="X92" s="271">
        <f t="shared" si="13"/>
        <v>0</v>
      </c>
      <c r="Y92" s="271"/>
      <c r="Z92" s="271"/>
      <c r="AB92" s="273" t="str">
        <f t="shared" si="14"/>
        <v>TinPT Timah Tbk Kundur</v>
      </c>
    </row>
    <row r="93" spans="1:28" s="272" customFormat="1" ht="51">
      <c r="A93" s="363" t="s">
        <v>784</v>
      </c>
      <c r="B93" s="355" t="s">
        <v>1131</v>
      </c>
      <c r="C93" s="356" t="s">
        <v>14025</v>
      </c>
      <c r="D93" s="357"/>
      <c r="E93" s="355" t="s">
        <v>15669</v>
      </c>
      <c r="F93" s="355" t="s">
        <v>784</v>
      </c>
      <c r="G93" s="355" t="s">
        <v>13459</v>
      </c>
      <c r="H93" s="358" t="s">
        <v>15976</v>
      </c>
      <c r="I93" s="359" t="s">
        <v>1808</v>
      </c>
      <c r="J93" s="359" t="s">
        <v>13066</v>
      </c>
      <c r="K93" s="360" t="s">
        <v>15973</v>
      </c>
      <c r="L93" s="360" t="s">
        <v>15974</v>
      </c>
      <c r="M93" s="360"/>
      <c r="N93" s="360"/>
      <c r="O93" s="360" t="s">
        <v>15688</v>
      </c>
      <c r="P93" s="361"/>
      <c r="Q93" s="362"/>
      <c r="R93" s="215" t="str">
        <f ca="1">IF(ISERROR($V93),"",OFFSET('Smelter Look-up'!$C$4,$V93-4,0)&amp;"")</f>
        <v>PT Timah Tbk Mentok</v>
      </c>
      <c r="S93" s="222" t="str">
        <f t="shared" ca="1" si="12"/>
        <v>ID</v>
      </c>
      <c r="T93" s="222" t="str">
        <f ca="1">IF(B93="","",IF(ISERROR(MATCH($J93,SorP!$B$1:$B$6230,0)),"",INDIRECT("'SorP'!$A$"&amp;MATCH($J93,SorP!$B$1:$B$6230,0))))</f>
        <v>ID-BB</v>
      </c>
      <c r="U93" s="238"/>
      <c r="V93" s="270">
        <f>IF(C93="",NA(),MATCH($B93&amp;$C93,'Smelter Look-up'!$J:$J,0))</f>
        <v>492</v>
      </c>
      <c r="W93" s="271"/>
      <c r="X93" s="271">
        <f t="shared" si="13"/>
        <v>0</v>
      </c>
      <c r="Y93" s="271"/>
      <c r="Z93" s="271"/>
      <c r="AB93" s="273" t="str">
        <f t="shared" si="14"/>
        <v>TinPT Timah Tbk Mentok</v>
      </c>
    </row>
    <row r="94" spans="1:28" s="272" customFormat="1" ht="62.25" customHeight="1">
      <c r="A94" s="363" t="s">
        <v>15408</v>
      </c>
      <c r="B94" s="355" t="s">
        <v>1131</v>
      </c>
      <c r="C94" s="356" t="s">
        <v>15407</v>
      </c>
      <c r="D94" s="357"/>
      <c r="E94" s="355" t="s">
        <v>15669</v>
      </c>
      <c r="F94" s="355" t="s">
        <v>15408</v>
      </c>
      <c r="G94" s="355" t="s">
        <v>13459</v>
      </c>
      <c r="H94" s="358"/>
      <c r="I94" s="359" t="s">
        <v>15446</v>
      </c>
      <c r="J94" s="359" t="s">
        <v>13066</v>
      </c>
      <c r="K94" s="360"/>
      <c r="L94" s="360"/>
      <c r="M94" s="360"/>
      <c r="N94" s="360"/>
      <c r="O94" s="360" t="s">
        <v>15977</v>
      </c>
      <c r="P94" s="361"/>
      <c r="Q94" s="362"/>
      <c r="R94" s="215" t="str">
        <f ca="1">IF(ISERROR($V94),"",OFFSET('Smelter Look-up'!$C$4,$V94-4,0)&amp;"")</f>
        <v>PT Timah Nusantara</v>
      </c>
      <c r="S94" s="222" t="str">
        <f t="shared" ca="1" si="12"/>
        <v>ID</v>
      </c>
      <c r="T94" s="222" t="str">
        <f ca="1">IF(B94="","",IF(ISERROR(MATCH($J94,SorP!$B$1:$B$6230,0)),"",INDIRECT("'SorP'!$A$"&amp;MATCH($J94,SorP!$B$1:$B$6230,0))))</f>
        <v>ID-BB</v>
      </c>
      <c r="U94" s="238"/>
      <c r="V94" s="270">
        <f>IF(C94="",NA(),MATCH($B94&amp;$C94,'Smelter Look-up'!$J:$J,0))</f>
        <v>490</v>
      </c>
      <c r="W94" s="271"/>
      <c r="X94" s="271">
        <f t="shared" si="13"/>
        <v>0</v>
      </c>
      <c r="Y94" s="271"/>
      <c r="Z94" s="271"/>
      <c r="AB94" s="273" t="str">
        <f t="shared" si="14"/>
        <v>TinPT Timah Nusantara</v>
      </c>
    </row>
    <row r="95" spans="1:28" s="272" customFormat="1" ht="51">
      <c r="A95" s="363" t="s">
        <v>15410</v>
      </c>
      <c r="B95" s="355" t="s">
        <v>1131</v>
      </c>
      <c r="C95" s="356" t="s">
        <v>15409</v>
      </c>
      <c r="D95" s="357"/>
      <c r="E95" s="355" t="s">
        <v>15669</v>
      </c>
      <c r="F95" s="355" t="s">
        <v>15410</v>
      </c>
      <c r="G95" s="355" t="s">
        <v>13459</v>
      </c>
      <c r="H95" s="358"/>
      <c r="I95" s="359" t="s">
        <v>15438</v>
      </c>
      <c r="J95" s="359" t="s">
        <v>13066</v>
      </c>
      <c r="K95" s="360" t="s">
        <v>15978</v>
      </c>
      <c r="L95" s="360" t="s">
        <v>15979</v>
      </c>
      <c r="M95" s="360"/>
      <c r="N95" s="360"/>
      <c r="O95" s="360" t="s">
        <v>15712</v>
      </c>
      <c r="P95" s="361"/>
      <c r="Q95" s="362"/>
      <c r="R95" s="215" t="str">
        <f ca="1">IF(ISERROR($V95),"",OFFSET('Smelter Look-up'!$C$4,$V95-4,0)&amp;"")</f>
        <v>PT Tinindo Inter Nusa</v>
      </c>
      <c r="S95" s="222" t="str">
        <f t="shared" ca="1" si="12"/>
        <v>ID</v>
      </c>
      <c r="T95" s="222" t="str">
        <f ca="1">IF(B95="","",IF(ISERROR(MATCH($J95,SorP!$B$1:$B$6230,0)),"",INDIRECT("'SorP'!$A$"&amp;MATCH($J95,SorP!$B$1:$B$6230,0))))</f>
        <v>ID-BB</v>
      </c>
      <c r="U95" s="238"/>
      <c r="V95" s="270">
        <f>IF(C95="",NA(),MATCH($B95&amp;$C95,'Smelter Look-up'!$J:$J,0))</f>
        <v>493</v>
      </c>
      <c r="W95" s="271"/>
      <c r="X95" s="271">
        <f t="shared" si="13"/>
        <v>0</v>
      </c>
      <c r="Y95" s="271"/>
      <c r="Z95" s="271"/>
      <c r="AB95" s="273" t="str">
        <f t="shared" si="14"/>
        <v>TinPT Tinindo Inter Nusa</v>
      </c>
    </row>
    <row r="96" spans="1:28" s="272" customFormat="1" ht="51">
      <c r="A96" s="363" t="s">
        <v>722</v>
      </c>
      <c r="B96" s="355" t="s">
        <v>1130</v>
      </c>
      <c r="C96" s="356" t="s">
        <v>12644</v>
      </c>
      <c r="D96" s="357"/>
      <c r="E96" s="355" t="s">
        <v>15636</v>
      </c>
      <c r="F96" s="355" t="s">
        <v>722</v>
      </c>
      <c r="G96" s="355" t="s">
        <v>13459</v>
      </c>
      <c r="H96" s="358" t="s">
        <v>15980</v>
      </c>
      <c r="I96" s="359" t="s">
        <v>1650</v>
      </c>
      <c r="J96" s="359" t="s">
        <v>1630</v>
      </c>
      <c r="K96" s="360" t="s">
        <v>15981</v>
      </c>
      <c r="L96" s="360" t="s">
        <v>15982</v>
      </c>
      <c r="M96" s="360"/>
      <c r="N96" s="360"/>
      <c r="O96" s="360" t="s">
        <v>15983</v>
      </c>
      <c r="P96" s="361"/>
      <c r="Q96" s="362"/>
      <c r="R96" s="215" t="str">
        <f ca="1">IF(ISERROR($V96),"",OFFSET('Smelter Look-up'!$C$4,$V96-4,0)&amp;"")</f>
        <v>PX Precinox S.A.</v>
      </c>
      <c r="S96" s="222" t="str">
        <f t="shared" ca="1" si="12"/>
        <v>CH</v>
      </c>
      <c r="T96" s="222" t="str">
        <f ca="1">IF(B96="","",IF(ISERROR(MATCH($J96,SorP!$B$1:$B$6230,0)),"",INDIRECT("'SorP'!$A$"&amp;MATCH($J96,SorP!$B$1:$B$6230,0))))</f>
        <v>CH-NE</v>
      </c>
      <c r="U96" s="238"/>
      <c r="V96" s="270">
        <f>IF(C96="",NA(),MATCH($B96&amp;$C96,'Smelter Look-up'!$J:$J,0))</f>
        <v>207</v>
      </c>
      <c r="W96" s="271"/>
      <c r="X96" s="271">
        <f t="shared" si="13"/>
        <v>0</v>
      </c>
      <c r="Y96" s="271"/>
      <c r="Z96" s="271"/>
      <c r="AB96" s="273" t="str">
        <f t="shared" si="14"/>
        <v>GoldPX Precinox S.A.</v>
      </c>
    </row>
    <row r="97" spans="1:28" s="272" customFormat="1" ht="81.75" customHeight="1">
      <c r="A97" s="363" t="s">
        <v>729</v>
      </c>
      <c r="B97" s="355" t="s">
        <v>1130</v>
      </c>
      <c r="C97" s="356" t="s">
        <v>914</v>
      </c>
      <c r="D97" s="357"/>
      <c r="E97" s="355" t="s">
        <v>15697</v>
      </c>
      <c r="F97" s="355" t="s">
        <v>729</v>
      </c>
      <c r="G97" s="355" t="s">
        <v>13459</v>
      </c>
      <c r="H97" s="358" t="s">
        <v>15984</v>
      </c>
      <c r="I97" s="359" t="s">
        <v>1668</v>
      </c>
      <c r="J97" s="359" t="s">
        <v>10169</v>
      </c>
      <c r="K97" s="360" t="s">
        <v>15625</v>
      </c>
      <c r="L97" s="360" t="s">
        <v>15985</v>
      </c>
      <c r="M97" s="360"/>
      <c r="N97" s="360"/>
      <c r="O97" s="360" t="s">
        <v>15986</v>
      </c>
      <c r="P97" s="361"/>
      <c r="Q97" s="362"/>
      <c r="R97" s="215" t="str">
        <f ca="1">IF(ISERROR($V97),"",OFFSET('Smelter Look-up'!$C$4,$V97-4,0)&amp;"")</f>
        <v>SOE Shyolkovsky Factory of Secondary Precious Metals</v>
      </c>
      <c r="S97" s="222" t="str">
        <f t="shared" ca="1" si="12"/>
        <v>RU</v>
      </c>
      <c r="T97" s="222" t="str">
        <f ca="1">IF(B97="","",IF(ISERROR(MATCH($J97,SorP!$B$1:$B$6230,0)),"",INDIRECT("'SorP'!$A$"&amp;MATCH($J97,SorP!$B$1:$B$6230,0))))</f>
        <v>RU-MOS</v>
      </c>
      <c r="U97" s="238"/>
      <c r="V97" s="270">
        <f>IF(C97="",NA(),MATCH($B97&amp;$C97,'Smelter Look-up'!$J:$J,0))</f>
        <v>251</v>
      </c>
      <c r="W97" s="271"/>
      <c r="X97" s="271">
        <f t="shared" si="13"/>
        <v>0</v>
      </c>
      <c r="Y97" s="271"/>
      <c r="Z97" s="271"/>
      <c r="AB97" s="273" t="str">
        <f t="shared" si="14"/>
        <v>GoldSOE Shyolkovsky Factory of Secondary Precious Metals</v>
      </c>
    </row>
    <row r="98" spans="1:28" s="272" customFormat="1" ht="76.5">
      <c r="A98" s="363" t="s">
        <v>672</v>
      </c>
      <c r="B98" s="355" t="s">
        <v>1130</v>
      </c>
      <c r="C98" s="356" t="s">
        <v>13133</v>
      </c>
      <c r="D98" s="357"/>
      <c r="E98" s="355" t="s">
        <v>15781</v>
      </c>
      <c r="F98" s="355" t="s">
        <v>672</v>
      </c>
      <c r="G98" s="355" t="s">
        <v>13459</v>
      </c>
      <c r="H98" s="358" t="s">
        <v>15987</v>
      </c>
      <c r="I98" s="359" t="s">
        <v>1549</v>
      </c>
      <c r="J98" s="359" t="s">
        <v>1550</v>
      </c>
      <c r="K98" s="360" t="s">
        <v>15988</v>
      </c>
      <c r="L98" s="360" t="s">
        <v>15989</v>
      </c>
      <c r="M98" s="360"/>
      <c r="N98" s="360"/>
      <c r="O98" s="360" t="s">
        <v>15990</v>
      </c>
      <c r="P98" s="361"/>
      <c r="Q98" s="362"/>
      <c r="R98" s="215" t="str">
        <f ca="1">IF(ISERROR($V98),"",OFFSET('Smelter Look-up'!$C$4,$V98-4,0)&amp;"")</f>
        <v>DODUCO Contacts and Refining GmbH</v>
      </c>
      <c r="S98" s="222" t="str">
        <f t="shared" ca="1" si="12"/>
        <v>DE</v>
      </c>
      <c r="T98" s="222" t="str">
        <f ca="1">IF(B98="","",IF(ISERROR(MATCH($J98,SorP!$B$1:$B$6230,0)),"",INDIRECT("'SorP'!$A$"&amp;MATCH($J98,SorP!$B$1:$B$6230,0))))</f>
        <v>DE-BW</v>
      </c>
      <c r="U98" s="238"/>
      <c r="V98" s="270">
        <f>IF(C98="",NA(),MATCH($B98&amp;$C98,'Smelter Look-up'!$J:$J,0))</f>
        <v>62</v>
      </c>
      <c r="W98" s="271"/>
      <c r="X98" s="271">
        <f t="shared" si="13"/>
        <v>0</v>
      </c>
      <c r="Y98" s="271"/>
      <c r="Z98" s="271"/>
      <c r="AB98" s="273" t="str">
        <f t="shared" si="14"/>
        <v>GoldDODUCO Contacts and Refining GmbH</v>
      </c>
    </row>
    <row r="99" spans="1:28" s="272" customFormat="1" ht="76.5">
      <c r="A99" s="363" t="s">
        <v>674</v>
      </c>
      <c r="B99" s="355" t="s">
        <v>1130</v>
      </c>
      <c r="C99" s="356" t="s">
        <v>2216</v>
      </c>
      <c r="D99" s="357"/>
      <c r="E99" s="355" t="s">
        <v>15697</v>
      </c>
      <c r="F99" s="355" t="s">
        <v>674</v>
      </c>
      <c r="G99" s="355" t="s">
        <v>13459</v>
      </c>
      <c r="H99" s="358" t="s">
        <v>15991</v>
      </c>
      <c r="I99" s="359" t="s">
        <v>1588</v>
      </c>
      <c r="J99" s="359" t="s">
        <v>10215</v>
      </c>
      <c r="K99" s="360" t="s">
        <v>15992</v>
      </c>
      <c r="L99" s="360" t="s">
        <v>15993</v>
      </c>
      <c r="M99" s="360"/>
      <c r="N99" s="360"/>
      <c r="O99" s="360" t="s">
        <v>15994</v>
      </c>
      <c r="P99" s="361"/>
      <c r="Q99" s="362"/>
      <c r="R99" s="215" t="str">
        <f ca="1">IF(ISERROR($V99),"",OFFSET('Smelter Look-up'!$C$4,$V99-4,0)&amp;"")</f>
        <v>JSC Novosibirsk Refinery</v>
      </c>
      <c r="S99" s="222" t="str">
        <f t="shared" ca="1" si="12"/>
        <v>RU</v>
      </c>
      <c r="T99" s="222" t="str">
        <f ca="1">IF(B99="","",IF(ISERROR(MATCH($J99,SorP!$B$1:$B$6230,0)),"",INDIRECT("'SorP'!$A$"&amp;MATCH($J99,SorP!$B$1:$B$6230,0))))</f>
        <v>RU-NVS</v>
      </c>
      <c r="U99" s="238"/>
      <c r="V99" s="270">
        <f>IF(C99="",NA(),MATCH($B99&amp;$C99,'Smelter Look-up'!$J:$J,0))</f>
        <v>196</v>
      </c>
      <c r="W99" s="271"/>
      <c r="X99" s="271">
        <f t="shared" si="13"/>
        <v>0</v>
      </c>
      <c r="Y99" s="271"/>
      <c r="Z99" s="271"/>
      <c r="AB99" s="273" t="str">
        <f t="shared" si="14"/>
        <v>GoldOJSC Novosibirsk Refinery</v>
      </c>
    </row>
    <row r="100" spans="1:28" s="272" customFormat="1" ht="87.75" customHeight="1">
      <c r="A100" s="363" t="s">
        <v>797</v>
      </c>
      <c r="B100" s="355" t="s">
        <v>1133</v>
      </c>
      <c r="C100" s="356" t="s">
        <v>2232</v>
      </c>
      <c r="D100" s="357"/>
      <c r="E100" s="355" t="s">
        <v>15646</v>
      </c>
      <c r="F100" s="355" t="s">
        <v>797</v>
      </c>
      <c r="G100" s="355" t="s">
        <v>13459</v>
      </c>
      <c r="H100" s="358" t="s">
        <v>15995</v>
      </c>
      <c r="I100" s="359" t="s">
        <v>2150</v>
      </c>
      <c r="J100" s="359" t="s">
        <v>13846</v>
      </c>
      <c r="K100" s="360" t="s">
        <v>15996</v>
      </c>
      <c r="L100" s="360" t="s">
        <v>15997</v>
      </c>
      <c r="M100" s="360"/>
      <c r="N100" s="360"/>
      <c r="O100" s="360" t="s">
        <v>15998</v>
      </c>
      <c r="P100" s="361"/>
      <c r="Q100" s="362"/>
      <c r="R100" s="215" t="str">
        <f ca="1">IF(ISERROR($V100),"",OFFSET('Smelter Look-up'!$C$4,$V100-4,0)&amp;"")</f>
        <v>Hunan Chenzhou Mining Co., Ltd.</v>
      </c>
      <c r="S100" s="222" t="str">
        <f t="shared" ca="1" si="12"/>
        <v>CN</v>
      </c>
      <c r="T100" s="222" t="str">
        <f ca="1">IF(B100="","",IF(ISERROR(MATCH($J100,SorP!$B$1:$B$6230,0)),"",INDIRECT("'SorP'!$A$"&amp;MATCH($J100,SorP!$B$1:$B$6230,0))))</f>
        <v>CN-HN</v>
      </c>
      <c r="U100" s="238"/>
      <c r="V100" s="270">
        <f>IF(C100="",NA(),MATCH($B100&amp;$C100,'Smelter Look-up'!$J:$J,0))</f>
        <v>567</v>
      </c>
      <c r="W100" s="271"/>
      <c r="X100" s="271">
        <f t="shared" si="13"/>
        <v>0</v>
      </c>
      <c r="Y100" s="271"/>
      <c r="Z100" s="271"/>
      <c r="AB100" s="273" t="str">
        <f t="shared" si="14"/>
        <v>TungstenHunan Chenzhou Mining Co., Ltd.</v>
      </c>
    </row>
    <row r="101" spans="1:28" s="272" customFormat="1" ht="76.5">
      <c r="A101" s="363" t="s">
        <v>681</v>
      </c>
      <c r="B101" s="355" t="s">
        <v>1130</v>
      </c>
      <c r="C101" s="356" t="s">
        <v>2232</v>
      </c>
      <c r="D101" s="357"/>
      <c r="E101" s="355" t="s">
        <v>15646</v>
      </c>
      <c r="F101" s="355" t="s">
        <v>681</v>
      </c>
      <c r="G101" s="355" t="s">
        <v>13459</v>
      </c>
      <c r="H101" s="358" t="s">
        <v>15999</v>
      </c>
      <c r="I101" s="359" t="s">
        <v>2150</v>
      </c>
      <c r="J101" s="359" t="s">
        <v>13846</v>
      </c>
      <c r="K101" s="360" t="s">
        <v>16000</v>
      </c>
      <c r="L101" s="360" t="s">
        <v>16001</v>
      </c>
      <c r="M101" s="360"/>
      <c r="N101" s="360"/>
      <c r="O101" s="360" t="s">
        <v>15646</v>
      </c>
      <c r="P101" s="361"/>
      <c r="Q101" s="362"/>
      <c r="R101" s="215" t="str">
        <f ca="1">IF(ISERROR($V101),"",OFFSET('Smelter Look-up'!$C$4,$V101-4,0)&amp;"")</f>
        <v>Hunan Chenzhou Mining Co., Ltd.</v>
      </c>
      <c r="S101" s="222" t="str">
        <f t="shared" ca="1" si="12"/>
        <v>CN</v>
      </c>
      <c r="T101" s="222" t="str">
        <f ca="1">IF(B101="","",IF(ISERROR(MATCH($J101,SorP!$B$1:$B$6230,0)),"",INDIRECT("'SorP'!$A$"&amp;MATCH($J101,SorP!$B$1:$B$6230,0))))</f>
        <v>CN-HN</v>
      </c>
      <c r="U101" s="238"/>
      <c r="V101" s="270">
        <f>IF(C101="",NA(),MATCH($B101&amp;$C101,'Smelter Look-up'!$J:$J,0))</f>
        <v>105</v>
      </c>
      <c r="W101" s="271"/>
      <c r="X101" s="271">
        <f t="shared" si="13"/>
        <v>0</v>
      </c>
      <c r="Y101" s="271"/>
      <c r="Z101" s="271"/>
      <c r="AB101" s="273" t="str">
        <f t="shared" si="14"/>
        <v>GoldHunan Chenzhou Mining Co., Ltd.</v>
      </c>
    </row>
    <row r="102" spans="1:28" s="272" customFormat="1" ht="114.75">
      <c r="A102" s="363" t="s">
        <v>747</v>
      </c>
      <c r="B102" s="355" t="s">
        <v>1132</v>
      </c>
      <c r="C102" s="356" t="s">
        <v>2</v>
      </c>
      <c r="D102" s="357"/>
      <c r="E102" s="355" t="s">
        <v>15646</v>
      </c>
      <c r="F102" s="355" t="s">
        <v>747</v>
      </c>
      <c r="G102" s="355" t="s">
        <v>13459</v>
      </c>
      <c r="H102" s="358" t="s">
        <v>16002</v>
      </c>
      <c r="I102" s="359" t="s">
        <v>1597</v>
      </c>
      <c r="J102" s="359" t="s">
        <v>13846</v>
      </c>
      <c r="K102" s="360" t="s">
        <v>16003</v>
      </c>
      <c r="L102" s="360" t="s">
        <v>16004</v>
      </c>
      <c r="M102" s="360"/>
      <c r="N102" s="360"/>
      <c r="O102" s="360" t="s">
        <v>15729</v>
      </c>
      <c r="P102" s="361"/>
      <c r="Q102" s="362"/>
      <c r="R102" s="215" t="str">
        <f ca="1">IF(ISERROR($V102),"",OFFSET('Smelter Look-up'!$C$4,$V102-4,0)&amp;"")</f>
        <v>Changsha South Tantalum Niobium Co., Ltd.</v>
      </c>
      <c r="S102" s="222" t="str">
        <f t="shared" ca="1" si="12"/>
        <v>CN</v>
      </c>
      <c r="T102" s="222" t="str">
        <f ca="1">IF(B102="","",IF(ISERROR(MATCH($J102,SorP!$B$1:$B$6230,0)),"",INDIRECT("'SorP'!$A$"&amp;MATCH($J102,SorP!$B$1:$B$6230,0))))</f>
        <v>CN-HN</v>
      </c>
      <c r="U102" s="238"/>
      <c r="V102" s="270">
        <f>IF(C102="",NA(),MATCH($B102&amp;$C102,'Smelter Look-up'!$J:$J,0))</f>
        <v>316</v>
      </c>
      <c r="W102" s="271"/>
      <c r="X102" s="271">
        <f t="shared" si="13"/>
        <v>0</v>
      </c>
      <c r="Y102" s="271"/>
      <c r="Z102" s="271"/>
      <c r="AB102" s="273" t="str">
        <f t="shared" si="14"/>
        <v>TantalumChangsha South Tantalum Niobium Co., Ltd.</v>
      </c>
    </row>
    <row r="103" spans="1:28" s="272" customFormat="1" ht="38.25">
      <c r="A103" s="363" t="s">
        <v>667</v>
      </c>
      <c r="B103" s="355" t="s">
        <v>1130</v>
      </c>
      <c r="C103" s="356" t="s">
        <v>539</v>
      </c>
      <c r="D103" s="357"/>
      <c r="E103" s="355" t="s">
        <v>15641</v>
      </c>
      <c r="F103" s="355" t="s">
        <v>667</v>
      </c>
      <c r="G103" s="355" t="s">
        <v>13459</v>
      </c>
      <c r="H103" s="358" t="s">
        <v>16005</v>
      </c>
      <c r="I103" s="359" t="s">
        <v>1577</v>
      </c>
      <c r="J103" s="359" t="s">
        <v>1548</v>
      </c>
      <c r="K103" s="360" t="s">
        <v>16006</v>
      </c>
      <c r="L103" s="360" t="s">
        <v>16007</v>
      </c>
      <c r="M103" s="360"/>
      <c r="N103" s="360"/>
      <c r="O103" s="360" t="s">
        <v>16008</v>
      </c>
      <c r="P103" s="361"/>
      <c r="Q103" s="362"/>
      <c r="R103" s="215" t="str">
        <f ca="1">IF(ISERROR($V103),"",OFFSET('Smelter Look-up'!$C$4,$V103-4,0)&amp;"")</f>
        <v>Chugai Mining</v>
      </c>
      <c r="S103" s="222" t="str">
        <f t="shared" ca="1" si="12"/>
        <v>JP</v>
      </c>
      <c r="T103" s="222" t="str">
        <f ca="1">IF(B103="","",IF(ISERROR(MATCH($J103,SorP!$B$1:$B$6230,0)),"",INDIRECT("'SorP'!$A$"&amp;MATCH($J103,SorP!$B$1:$B$6230,0))))</f>
        <v>JP-13</v>
      </c>
      <c r="U103" s="238"/>
      <c r="V103" s="270">
        <f>IF(C103="",NA(),MATCH($B103&amp;$C103,'Smelter Look-up'!$J:$J,0))</f>
        <v>55</v>
      </c>
      <c r="W103" s="271"/>
      <c r="X103" s="271">
        <f t="shared" si="13"/>
        <v>0</v>
      </c>
      <c r="Y103" s="271"/>
      <c r="Z103" s="271"/>
      <c r="AB103" s="273" t="str">
        <f t="shared" si="14"/>
        <v>GoldChugai Mining</v>
      </c>
    </row>
    <row r="104" spans="1:28" s="272" customFormat="1" ht="69" customHeight="1">
      <c r="A104" s="363" t="s">
        <v>787</v>
      </c>
      <c r="B104" s="355" t="s">
        <v>1131</v>
      </c>
      <c r="C104" s="356" t="s">
        <v>2178</v>
      </c>
      <c r="D104" s="357"/>
      <c r="E104" s="355" t="s">
        <v>15626</v>
      </c>
      <c r="F104" s="355" t="s">
        <v>787</v>
      </c>
      <c r="G104" s="355" t="s">
        <v>13459</v>
      </c>
      <c r="H104" s="358" t="s">
        <v>16009</v>
      </c>
      <c r="I104" s="359" t="s">
        <v>1809</v>
      </c>
      <c r="J104" s="359" t="s">
        <v>1683</v>
      </c>
      <c r="K104" s="360" t="s">
        <v>16010</v>
      </c>
      <c r="L104" s="360" t="s">
        <v>16011</v>
      </c>
      <c r="M104" s="360"/>
      <c r="N104" s="360"/>
      <c r="O104" s="360" t="s">
        <v>16012</v>
      </c>
      <c r="P104" s="361"/>
      <c r="Q104" s="362"/>
      <c r="R104" s="215" t="str">
        <f ca="1">IF(ISERROR($V104),"",OFFSET('Smelter Look-up'!$C$4,$V104-4,0)&amp;"")</f>
        <v>Soft Metais Ltda.</v>
      </c>
      <c r="S104" s="222" t="str">
        <f t="shared" ca="1" si="12"/>
        <v>BR</v>
      </c>
      <c r="T104" s="222" t="str">
        <f ca="1">IF(B104="","",IF(ISERROR(MATCH($J104,SorP!$B$1:$B$6230,0)),"",INDIRECT("'SorP'!$A$"&amp;MATCH($J104,SorP!$B$1:$B$6230,0))))</f>
        <v>BR-SP</v>
      </c>
      <c r="U104" s="238"/>
      <c r="V104" s="270">
        <f>IF(C104="",NA(),MATCH($B104&amp;$C104,'Smelter Look-up'!$J:$J,0))</f>
        <v>499</v>
      </c>
      <c r="W104" s="271"/>
      <c r="X104" s="271">
        <f t="shared" si="13"/>
        <v>0</v>
      </c>
      <c r="Y104" s="271"/>
      <c r="Z104" s="271"/>
      <c r="AB104" s="273" t="str">
        <f t="shared" si="14"/>
        <v>TinSoft Metais Ltda.</v>
      </c>
    </row>
    <row r="105" spans="1:28" s="272" customFormat="1" ht="83.25" customHeight="1">
      <c r="A105" s="363" t="s">
        <v>730</v>
      </c>
      <c r="B105" s="355" t="s">
        <v>1130</v>
      </c>
      <c r="C105" s="356" t="s">
        <v>915</v>
      </c>
      <c r="D105" s="357"/>
      <c r="E105" s="355" t="s">
        <v>15802</v>
      </c>
      <c r="F105" s="355" t="s">
        <v>730</v>
      </c>
      <c r="G105" s="355" t="s">
        <v>13459</v>
      </c>
      <c r="H105" s="358" t="s">
        <v>16013</v>
      </c>
      <c r="I105" s="359" t="s">
        <v>1669</v>
      </c>
      <c r="J105" s="359" t="s">
        <v>11721</v>
      </c>
      <c r="K105" s="360" t="s">
        <v>16014</v>
      </c>
      <c r="L105" s="360" t="s">
        <v>16015</v>
      </c>
      <c r="M105" s="360"/>
      <c r="N105" s="360"/>
      <c r="O105" s="360" t="s">
        <v>16016</v>
      </c>
      <c r="P105" s="361"/>
      <c r="Q105" s="362"/>
      <c r="R105" s="215" t="str">
        <f ca="1">IF(ISERROR($V105),"",OFFSET('Smelter Look-up'!$C$4,$V105-4,0)&amp;"")</f>
        <v>Solar Applied Materials Technology Corp.</v>
      </c>
      <c r="S105" s="222" t="str">
        <f t="shared" ca="1" si="12"/>
        <v>TW</v>
      </c>
      <c r="T105" s="222" t="str">
        <f ca="1">IF(B105="","",IF(ISERROR(MATCH($J105,SorP!$B$1:$B$6230,0)),"",INDIRECT("'SorP'!$A$"&amp;MATCH($J105,SorP!$B$1:$B$6230,0))))</f>
        <v>TW-TNN</v>
      </c>
      <c r="U105" s="238"/>
      <c r="V105" s="270">
        <f>IF(C105="",NA(),MATCH($B105&amp;$C105,'Smelter Look-up'!$J:$J,0))</f>
        <v>252</v>
      </c>
      <c r="W105" s="271"/>
      <c r="X105" s="271">
        <f t="shared" si="13"/>
        <v>0</v>
      </c>
      <c r="Y105" s="271"/>
      <c r="Z105" s="271"/>
      <c r="AB105" s="273" t="str">
        <f t="shared" si="14"/>
        <v>GoldSolar Applied Materials Technology Corp.</v>
      </c>
    </row>
    <row r="106" spans="1:28" s="272" customFormat="1" ht="102">
      <c r="A106" s="363" t="s">
        <v>2292</v>
      </c>
      <c r="B106" s="355" t="s">
        <v>1133</v>
      </c>
      <c r="C106" s="356" t="s">
        <v>2371</v>
      </c>
      <c r="D106" s="357"/>
      <c r="E106" s="355" t="s">
        <v>15953</v>
      </c>
      <c r="F106" s="355" t="s">
        <v>2292</v>
      </c>
      <c r="G106" s="355" t="s">
        <v>13459</v>
      </c>
      <c r="H106" s="358" t="s">
        <v>16017</v>
      </c>
      <c r="I106" s="359" t="s">
        <v>2293</v>
      </c>
      <c r="J106" s="359" t="s">
        <v>2294</v>
      </c>
      <c r="K106" s="360" t="s">
        <v>16018</v>
      </c>
      <c r="L106" s="360" t="s">
        <v>16019</v>
      </c>
      <c r="M106" s="360"/>
      <c r="N106" s="360"/>
      <c r="O106" s="360" t="s">
        <v>16020</v>
      </c>
      <c r="P106" s="361"/>
      <c r="Q106" s="362"/>
      <c r="R106" s="215" t="str">
        <f ca="1">IF(ISERROR($V106),"",OFFSET('Smelter Look-up'!$C$4,$V106-4,0)&amp;"")</f>
        <v>Philippine Chuangxin Industrial Co., Inc.</v>
      </c>
      <c r="S106" s="222" t="str">
        <f t="shared" ca="1" si="12"/>
        <v>PH</v>
      </c>
      <c r="T106" s="222" t="str">
        <f ca="1">IF(B106="","",IF(ISERROR(MATCH($J106,SorP!$B$1:$B$6230,0)),"",INDIRECT("'SorP'!$A$"&amp;MATCH($J106,SorP!$B$1:$B$6230,0))))</f>
        <v>PH-BUL</v>
      </c>
      <c r="U106" s="238"/>
      <c r="V106" s="270">
        <f>IF(C106="",NA(),MATCH($B106&amp;$C106,'Smelter Look-up'!$J:$J,0))</f>
        <v>595</v>
      </c>
      <c r="W106" s="271"/>
      <c r="X106" s="271">
        <f t="shared" si="13"/>
        <v>0</v>
      </c>
      <c r="Y106" s="271"/>
      <c r="Z106" s="271"/>
      <c r="AB106" s="273" t="str">
        <f t="shared" si="14"/>
        <v>TungstenPhilippine Chuangxin Industrial Co., Inc.</v>
      </c>
    </row>
    <row r="107" spans="1:28" s="272" customFormat="1" ht="87" customHeight="1">
      <c r="A107" s="363" t="s">
        <v>2298</v>
      </c>
      <c r="B107" s="355" t="s">
        <v>1133</v>
      </c>
      <c r="C107" s="356" t="s">
        <v>2297</v>
      </c>
      <c r="D107" s="357"/>
      <c r="E107" s="355" t="s">
        <v>15646</v>
      </c>
      <c r="F107" s="355" t="s">
        <v>2298</v>
      </c>
      <c r="G107" s="355" t="s">
        <v>13459</v>
      </c>
      <c r="H107" s="358" t="s">
        <v>16021</v>
      </c>
      <c r="I107" s="359" t="s">
        <v>1787</v>
      </c>
      <c r="J107" s="359" t="s">
        <v>13842</v>
      </c>
      <c r="K107" s="360" t="s">
        <v>16022</v>
      </c>
      <c r="L107" s="360" t="s">
        <v>16023</v>
      </c>
      <c r="M107" s="360"/>
      <c r="N107" s="360"/>
      <c r="O107" s="360" t="s">
        <v>16024</v>
      </c>
      <c r="P107" s="361"/>
      <c r="Q107" s="362"/>
      <c r="R107" s="215" t="str">
        <f ca="1">IF(ISERROR($V107),"",OFFSET('Smelter Look-up'!$C$4,$V107-4,0)&amp;"")</f>
        <v>Xinfeng Huarui Tungsten &amp; Molybdenum New Material Co., Ltd.</v>
      </c>
      <c r="S107" s="222" t="str">
        <f t="shared" ca="1" si="12"/>
        <v>CN</v>
      </c>
      <c r="T107" s="222" t="str">
        <f ca="1">IF(B107="","",IF(ISERROR(MATCH($J107,SorP!$B$1:$B$6230,0)),"",INDIRECT("'SorP'!$A$"&amp;MATCH($J107,SorP!$B$1:$B$6230,0))))</f>
        <v>CN-JX</v>
      </c>
      <c r="U107" s="238"/>
      <c r="V107" s="270">
        <f>IF(C107="",NA(),MATCH($B107&amp;$C107,'Smelter Look-up'!$J:$J,0))</f>
        <v>606</v>
      </c>
      <c r="W107" s="271"/>
      <c r="X107" s="271">
        <f t="shared" si="13"/>
        <v>0</v>
      </c>
      <c r="Y107" s="271"/>
      <c r="Z107" s="271"/>
      <c r="AB107" s="273" t="str">
        <f t="shared" si="14"/>
        <v>TungstenXinfeng Huarui Tungsten &amp; Molybdenum New Material Co., Ltd.</v>
      </c>
    </row>
    <row r="108" spans="1:28" s="272" customFormat="1" ht="63.75">
      <c r="A108" s="363" t="s">
        <v>15400</v>
      </c>
      <c r="B108" s="355" t="s">
        <v>1131</v>
      </c>
      <c r="C108" s="356" t="s">
        <v>15399</v>
      </c>
      <c r="D108" s="357"/>
      <c r="E108" s="355" t="s">
        <v>15669</v>
      </c>
      <c r="F108" s="355" t="s">
        <v>15400</v>
      </c>
      <c r="G108" s="355" t="s">
        <v>13459</v>
      </c>
      <c r="H108" s="358" t="s">
        <v>16025</v>
      </c>
      <c r="I108" s="359" t="s">
        <v>15444</v>
      </c>
      <c r="J108" s="359" t="s">
        <v>13066</v>
      </c>
      <c r="K108" s="360" t="s">
        <v>16026</v>
      </c>
      <c r="L108" s="360" t="s">
        <v>16027</v>
      </c>
      <c r="M108" s="360"/>
      <c r="N108" s="360"/>
      <c r="O108" s="360" t="s">
        <v>16028</v>
      </c>
      <c r="P108" s="361"/>
      <c r="Q108" s="362"/>
      <c r="R108" s="215" t="str">
        <f ca="1">IF(ISERROR($V108),"",OFFSET('Smelter Look-up'!$C$4,$V108-4,0)&amp;"")</f>
        <v>PT Menara Cipta Mulia</v>
      </c>
      <c r="S108" s="222" t="str">
        <f t="shared" ca="1" si="12"/>
        <v>ID</v>
      </c>
      <c r="T108" s="222" t="str">
        <f ca="1">IF(B108="","",IF(ISERROR(MATCH($J108,SorP!$B$1:$B$6230,0)),"",INDIRECT("'SorP'!$A$"&amp;MATCH($J108,SorP!$B$1:$B$6230,0))))</f>
        <v>ID-BB</v>
      </c>
      <c r="U108" s="238"/>
      <c r="V108" s="270">
        <f>IF(C108="",NA(),MATCH($B108&amp;$C108,'Smelter Look-up'!$J:$J,0))</f>
        <v>481</v>
      </c>
      <c r="W108" s="271"/>
      <c r="X108" s="271">
        <f t="shared" si="13"/>
        <v>0</v>
      </c>
      <c r="Y108" s="271"/>
      <c r="Z108" s="271"/>
      <c r="AB108" s="273" t="str">
        <f t="shared" si="14"/>
        <v>TinPT Menara Cipta Mulia</v>
      </c>
    </row>
    <row r="109" spans="1:28" s="272" customFormat="1" ht="51">
      <c r="A109" s="363" t="s">
        <v>2286</v>
      </c>
      <c r="B109" s="355" t="s">
        <v>1133</v>
      </c>
      <c r="C109" s="356" t="s">
        <v>2285</v>
      </c>
      <c r="D109" s="357"/>
      <c r="E109" s="355" t="s">
        <v>15626</v>
      </c>
      <c r="F109" s="355" t="s">
        <v>2286</v>
      </c>
      <c r="G109" s="355" t="s">
        <v>13459</v>
      </c>
      <c r="H109" s="358" t="s">
        <v>16029</v>
      </c>
      <c r="I109" s="359" t="s">
        <v>2287</v>
      </c>
      <c r="J109" s="359" t="s">
        <v>1683</v>
      </c>
      <c r="K109" s="360" t="s">
        <v>16030</v>
      </c>
      <c r="L109" s="360" t="s">
        <v>16031</v>
      </c>
      <c r="M109" s="360"/>
      <c r="N109" s="360"/>
      <c r="O109" s="360" t="s">
        <v>16032</v>
      </c>
      <c r="P109" s="361"/>
      <c r="Q109" s="362"/>
      <c r="R109" s="215" t="str">
        <f ca="1">IF(ISERROR($V109),"",OFFSET('Smelter Look-up'!$C$4,$V109-4,0)&amp;"")</f>
        <v>ACL Metais Eireli</v>
      </c>
      <c r="S109" s="222" t="str">
        <f t="shared" ca="1" si="12"/>
        <v>BR</v>
      </c>
      <c r="T109" s="222" t="str">
        <f ca="1">IF(B109="","",IF(ISERROR(MATCH($J109,SorP!$B$1:$B$6230,0)),"",INDIRECT("'SorP'!$A$"&amp;MATCH($J109,SorP!$B$1:$B$6230,0))))</f>
        <v>BR-SP</v>
      </c>
      <c r="U109" s="238"/>
      <c r="V109" s="270">
        <f>IF(C109="",NA(),MATCH($B109&amp;$C109,'Smelter Look-up'!$J:$J,0))</f>
        <v>535</v>
      </c>
      <c r="W109" s="271"/>
      <c r="X109" s="271">
        <f t="shared" si="13"/>
        <v>0</v>
      </c>
      <c r="Y109" s="271"/>
      <c r="Z109" s="271"/>
      <c r="AB109" s="273" t="str">
        <f t="shared" si="14"/>
        <v>TungstenACL Metais Eireli</v>
      </c>
    </row>
    <row r="110" spans="1:28" s="272" customFormat="1" ht="63.75">
      <c r="A110" s="363" t="s">
        <v>801</v>
      </c>
      <c r="B110" s="355" t="s">
        <v>1133</v>
      </c>
      <c r="C110" s="356" t="s">
        <v>150</v>
      </c>
      <c r="D110" s="357"/>
      <c r="E110" s="355" t="s">
        <v>15631</v>
      </c>
      <c r="F110" s="355" t="s">
        <v>801</v>
      </c>
      <c r="G110" s="355" t="s">
        <v>13459</v>
      </c>
      <c r="H110" s="358" t="s">
        <v>16033</v>
      </c>
      <c r="I110" s="359" t="s">
        <v>1844</v>
      </c>
      <c r="J110" s="359" t="s">
        <v>1769</v>
      </c>
      <c r="K110" s="360" t="s">
        <v>15686</v>
      </c>
      <c r="L110" s="360" t="s">
        <v>15687</v>
      </c>
      <c r="M110" s="360"/>
      <c r="N110" s="360"/>
      <c r="O110" s="360" t="s">
        <v>16034</v>
      </c>
      <c r="P110" s="361"/>
      <c r="Q110" s="362"/>
      <c r="R110" s="215" t="str">
        <f ca="1">IF(ISERROR($V110),"",OFFSET('Smelter Look-up'!$C$4,$V110-4,0)&amp;"")</f>
        <v>Kennametal Fallon</v>
      </c>
      <c r="S110" s="222" t="str">
        <f t="shared" ca="1" si="12"/>
        <v>US</v>
      </c>
      <c r="T110" s="222" t="str">
        <f ca="1">IF(B110="","",IF(ISERROR(MATCH($J110,SorP!$B$1:$B$6230,0)),"",INDIRECT("'SorP'!$A$"&amp;MATCH($J110,SorP!$B$1:$B$6230,0))))</f>
        <v>US-NV</v>
      </c>
      <c r="U110" s="238"/>
      <c r="V110" s="270">
        <f>IF(C110="",NA(),MATCH($B110&amp;$C110,'Smelter Look-up'!$J:$J,0))</f>
        <v>582</v>
      </c>
      <c r="W110" s="271"/>
      <c r="X110" s="271">
        <f t="shared" si="13"/>
        <v>0</v>
      </c>
      <c r="Y110" s="271"/>
      <c r="Z110" s="271"/>
      <c r="AB110" s="273" t="str">
        <f t="shared" si="14"/>
        <v>TungstenKennametal Fallon</v>
      </c>
    </row>
    <row r="111" spans="1:28" s="272" customFormat="1" ht="101.25" customHeight="1">
      <c r="A111" s="363" t="s">
        <v>695</v>
      </c>
      <c r="B111" s="355" t="s">
        <v>1130</v>
      </c>
      <c r="C111" s="356" t="s">
        <v>694</v>
      </c>
      <c r="D111" s="357"/>
      <c r="E111" s="355" t="s">
        <v>15631</v>
      </c>
      <c r="F111" s="355" t="s">
        <v>695</v>
      </c>
      <c r="G111" s="355" t="s">
        <v>13459</v>
      </c>
      <c r="H111" s="358" t="s">
        <v>16035</v>
      </c>
      <c r="I111" s="359" t="s">
        <v>1614</v>
      </c>
      <c r="J111" s="359" t="s">
        <v>1607</v>
      </c>
      <c r="K111" s="360" t="s">
        <v>16036</v>
      </c>
      <c r="L111" s="360" t="s">
        <v>16037</v>
      </c>
      <c r="M111" s="360"/>
      <c r="N111" s="360"/>
      <c r="O111" s="360" t="s">
        <v>16038</v>
      </c>
      <c r="P111" s="361"/>
      <c r="Q111" s="362"/>
      <c r="R111" s="215" t="str">
        <f ca="1">IF(ISERROR($V111),"",OFFSET('Smelter Look-up'!$C$4,$V111-4,0)&amp;"")</f>
        <v>Kennecott Utah Copper LLC</v>
      </c>
      <c r="S111" s="222" t="str">
        <f t="shared" ca="1" si="12"/>
        <v>US</v>
      </c>
      <c r="T111" s="222" t="str">
        <f ca="1">IF(B111="","",IF(ISERROR(MATCH($J111,SorP!$B$1:$B$6230,0)),"",INDIRECT("'SorP'!$A$"&amp;MATCH($J111,SorP!$B$1:$B$6230,0))))</f>
        <v>US-UT</v>
      </c>
      <c r="U111" s="238"/>
      <c r="V111" s="270">
        <f>IF(C111="",NA(),MATCH($B111&amp;$C111,'Smelter Look-up'!$J:$J,0))</f>
        <v>133</v>
      </c>
      <c r="W111" s="271"/>
      <c r="X111" s="271">
        <f t="shared" si="13"/>
        <v>0</v>
      </c>
      <c r="Y111" s="271"/>
      <c r="Z111" s="271"/>
      <c r="AB111" s="273" t="str">
        <f t="shared" si="14"/>
        <v>GoldKennecott Utah Copper LLC</v>
      </c>
    </row>
    <row r="112" spans="1:28" s="272" customFormat="1" ht="89.25">
      <c r="A112" s="363" t="s">
        <v>14034</v>
      </c>
      <c r="B112" s="355" t="s">
        <v>1131</v>
      </c>
      <c r="C112" s="356" t="s">
        <v>14033</v>
      </c>
      <c r="D112" s="357"/>
      <c r="E112" s="355" t="s">
        <v>15836</v>
      </c>
      <c r="F112" s="355" t="s">
        <v>14034</v>
      </c>
      <c r="G112" s="355" t="s">
        <v>13459</v>
      </c>
      <c r="H112" s="358" t="s">
        <v>16039</v>
      </c>
      <c r="I112" s="359" t="s">
        <v>14060</v>
      </c>
      <c r="J112" s="359" t="s">
        <v>12344</v>
      </c>
      <c r="K112" s="360" t="s">
        <v>16040</v>
      </c>
      <c r="L112" s="360" t="s">
        <v>16041</v>
      </c>
      <c r="M112" s="360"/>
      <c r="N112" s="360"/>
      <c r="O112" s="360" t="s">
        <v>15712</v>
      </c>
      <c r="P112" s="361"/>
      <c r="Q112" s="362"/>
      <c r="R112" s="215" t="str">
        <f ca="1">IF(ISERROR($V112),"",OFFSET('Smelter Look-up'!$C$4,$V112-4,0)&amp;"")</f>
        <v>Thai Nguyen Mining and Metallurgy Co., Ltd.</v>
      </c>
      <c r="S112" s="222" t="str">
        <f t="shared" ref="S112" ca="1" si="15">IF(B112="","",IF(ISERROR(MATCH($E112,CL,0)),"Unknown",INDIRECT("'C'!$A$"&amp;MATCH($E112,CL,0)+1)))</f>
        <v>VN</v>
      </c>
      <c r="T112" s="222" t="str">
        <f ca="1">IF(B112="","",IF(ISERROR(MATCH($J112,SorP!$B$1:$B$6230,0)),"",INDIRECT("'SorP'!$A$"&amp;MATCH($J112,SorP!$B$1:$B$6230,0))))</f>
        <v>VN-69</v>
      </c>
      <c r="U112" s="238"/>
      <c r="V112" s="270">
        <f>IF(C112="",NA(),MATCH($B112&amp;$C112,'Smelter Look-up'!$J:$J,0))</f>
        <v>501</v>
      </c>
      <c r="W112" s="271"/>
      <c r="X112" s="271">
        <f t="shared" ref="X112" si="16">IF(AND(C112="Smelter not listed",OR(LEN(D112)=0,LEN(E112)=0)),1,0)</f>
        <v>0</v>
      </c>
      <c r="Y112" s="271"/>
      <c r="Z112" s="271"/>
      <c r="AB112" s="273" t="str">
        <f t="shared" ref="AB112" si="17">B112&amp;C112</f>
        <v>TinThai Nguyen Mining and Metallurgy Co., Ltd.</v>
      </c>
    </row>
    <row r="113" spans="1:28" s="272" customFormat="1" ht="102">
      <c r="A113" s="363" t="s">
        <v>651</v>
      </c>
      <c r="B113" s="355" t="s">
        <v>1130</v>
      </c>
      <c r="C113" s="356" t="s">
        <v>52</v>
      </c>
      <c r="D113" s="357"/>
      <c r="E113" s="355" t="s">
        <v>15781</v>
      </c>
      <c r="F113" s="355" t="s">
        <v>651</v>
      </c>
      <c r="G113" s="355" t="s">
        <v>13459</v>
      </c>
      <c r="H113" s="358" t="s">
        <v>16042</v>
      </c>
      <c r="I113" s="359" t="s">
        <v>1549</v>
      </c>
      <c r="J113" s="359" t="s">
        <v>1550</v>
      </c>
      <c r="K113" s="360" t="s">
        <v>16043</v>
      </c>
      <c r="L113" s="360" t="s">
        <v>16044</v>
      </c>
      <c r="M113" s="360"/>
      <c r="N113" s="360"/>
      <c r="O113" s="360" t="s">
        <v>16045</v>
      </c>
      <c r="P113" s="361"/>
      <c r="Q113" s="362"/>
      <c r="R113" s="215" t="str">
        <f ca="1">IF(ISERROR($V113),"",OFFSET('Smelter Look-up'!$C$4,$V113-4,0)&amp;"")</f>
        <v>Allgemeine Gold-und Silberscheideanstalt A.G.</v>
      </c>
      <c r="S113" s="222" t="str">
        <f t="shared" ref="S113:S144" ca="1" si="18">IF(B113="","",IF(ISERROR(MATCH($E113,CL,0)),"Unknown",INDIRECT("'C'!$A$"&amp;MATCH($E113,CL,0)+1)))</f>
        <v>DE</v>
      </c>
      <c r="T113" s="222" t="str">
        <f ca="1">IF(B113="","",IF(ISERROR(MATCH($J113,SorP!$B$1:$B$6230,0)),"",INDIRECT("'SorP'!$A$"&amp;MATCH($J113,SorP!$B$1:$B$6230,0))))</f>
        <v>DE-BW</v>
      </c>
      <c r="U113" s="238"/>
      <c r="V113" s="270">
        <f>IF(C113="",NA(),MATCH($B113&amp;$C113,'Smelter Look-up'!$J:$J,0))</f>
        <v>16</v>
      </c>
      <c r="W113" s="271"/>
      <c r="X113" s="271">
        <f t="shared" ref="X113:X144" si="19">IF(AND(C113="Smelter not listed",OR(LEN(D113)=0,LEN(E113)=0)),1,0)</f>
        <v>0</v>
      </c>
      <c r="Y113" s="271"/>
      <c r="Z113" s="271"/>
      <c r="AB113" s="273" t="str">
        <f t="shared" ref="AB113:AB144" si="20">B113&amp;C113</f>
        <v>GoldAllgemeine Gold-und Silberscheideanstalt A.G.</v>
      </c>
    </row>
    <row r="114" spans="1:28" s="272" customFormat="1" ht="89.25">
      <c r="A114" s="363" t="s">
        <v>771</v>
      </c>
      <c r="B114" s="355" t="s">
        <v>1131</v>
      </c>
      <c r="C114" s="356" t="s">
        <v>1786</v>
      </c>
      <c r="D114" s="357"/>
      <c r="E114" s="355" t="s">
        <v>15646</v>
      </c>
      <c r="F114" s="355" t="s">
        <v>771</v>
      </c>
      <c r="G114" s="355" t="s">
        <v>13459</v>
      </c>
      <c r="H114" s="358" t="s">
        <v>16046</v>
      </c>
      <c r="I114" s="359" t="s">
        <v>2477</v>
      </c>
      <c r="J114" s="359" t="s">
        <v>13851</v>
      </c>
      <c r="K114" s="360" t="s">
        <v>16047</v>
      </c>
      <c r="L114" s="360" t="s">
        <v>16048</v>
      </c>
      <c r="M114" s="360"/>
      <c r="N114" s="360"/>
      <c r="O114" s="360" t="s">
        <v>16049</v>
      </c>
      <c r="P114" s="361"/>
      <c r="Q114" s="362"/>
      <c r="R114" s="215" t="str">
        <f ca="1">IF(ISERROR($V114),"",OFFSET('Smelter Look-up'!$C$4,$V114-4,0)&amp;"")</f>
        <v>Gejiu Zili Mining And Metallurgy Co., Ltd.</v>
      </c>
      <c r="S114" s="222" t="str">
        <f t="shared" ca="1" si="18"/>
        <v>CN</v>
      </c>
      <c r="T114" s="222" t="str">
        <f ca="1">IF(B114="","",IF(ISERROR(MATCH($J114,SorP!$B$1:$B$6230,0)),"",INDIRECT("'SorP'!$A$"&amp;MATCH($J114,SorP!$B$1:$B$6230,0))))</f>
        <v>CN-YN</v>
      </c>
      <c r="U114" s="238"/>
      <c r="V114" s="270">
        <f>IF(C114="",NA(),MATCH($B114&amp;$C114,'Smelter Look-up'!$J:$J,0))</f>
        <v>431</v>
      </c>
      <c r="W114" s="271"/>
      <c r="X114" s="271">
        <f t="shared" si="19"/>
        <v>0</v>
      </c>
      <c r="Y114" s="271"/>
      <c r="Z114" s="271"/>
      <c r="AB114" s="273" t="str">
        <f t="shared" si="20"/>
        <v>TinGejiu Zili Mining And Metallurgy Co., Ltd.</v>
      </c>
    </row>
    <row r="115" spans="1:28" s="272" customFormat="1" ht="78.75" customHeight="1">
      <c r="A115" s="363" t="s">
        <v>796</v>
      </c>
      <c r="B115" s="355" t="s">
        <v>1133</v>
      </c>
      <c r="C115" s="356" t="s">
        <v>1</v>
      </c>
      <c r="D115" s="357"/>
      <c r="E115" s="355" t="s">
        <v>15631</v>
      </c>
      <c r="F115" s="355" t="s">
        <v>796</v>
      </c>
      <c r="G115" s="355" t="s">
        <v>13459</v>
      </c>
      <c r="H115" s="358" t="s">
        <v>16050</v>
      </c>
      <c r="I115" s="359" t="s">
        <v>1841</v>
      </c>
      <c r="J115" s="359" t="s">
        <v>1749</v>
      </c>
      <c r="K115" s="360" t="s">
        <v>16051</v>
      </c>
      <c r="L115" s="360" t="s">
        <v>16052</v>
      </c>
      <c r="M115" s="360"/>
      <c r="N115" s="360"/>
      <c r="O115" s="360" t="s">
        <v>16053</v>
      </c>
      <c r="P115" s="361"/>
      <c r="Q115" s="362"/>
      <c r="R115" s="215" t="str">
        <f ca="1">IF(ISERROR($V115),"",OFFSET('Smelter Look-up'!$C$4,$V115-4,0)&amp;"")</f>
        <v>Global Tungsten &amp; Powders Corp.</v>
      </c>
      <c r="S115" s="222" t="str">
        <f t="shared" ca="1" si="18"/>
        <v>US</v>
      </c>
      <c r="T115" s="222" t="str">
        <f ca="1">IF(B115="","",IF(ISERROR(MATCH($J115,SorP!$B$1:$B$6230,0)),"",INDIRECT("'SorP'!$A$"&amp;MATCH($J115,SorP!$B$1:$B$6230,0))))</f>
        <v>US-PA</v>
      </c>
      <c r="U115" s="238"/>
      <c r="V115" s="270">
        <f>IF(C115="",NA(),MATCH($B115&amp;$C115,'Smelter Look-up'!$J:$J,0))</f>
        <v>560</v>
      </c>
      <c r="W115" s="271"/>
      <c r="X115" s="271">
        <f t="shared" si="19"/>
        <v>0</v>
      </c>
      <c r="Y115" s="271"/>
      <c r="Z115" s="271"/>
      <c r="AB115" s="273" t="str">
        <f t="shared" si="20"/>
        <v>TungstenGlobal Tungsten &amp; Powders Corp.</v>
      </c>
    </row>
    <row r="116" spans="1:28" s="272" customFormat="1" ht="51">
      <c r="A116" s="363" t="s">
        <v>685</v>
      </c>
      <c r="B116" s="355" t="s">
        <v>1130</v>
      </c>
      <c r="C116" s="356" t="s">
        <v>1235</v>
      </c>
      <c r="D116" s="357"/>
      <c r="E116" s="355" t="s">
        <v>15680</v>
      </c>
      <c r="F116" s="355" t="s">
        <v>685</v>
      </c>
      <c r="G116" s="355" t="s">
        <v>13459</v>
      </c>
      <c r="H116" s="358" t="s">
        <v>16054</v>
      </c>
      <c r="I116" s="359" t="s">
        <v>1602</v>
      </c>
      <c r="J116" s="359" t="s">
        <v>11478</v>
      </c>
      <c r="K116" s="360" t="s">
        <v>16055</v>
      </c>
      <c r="L116" s="360" t="s">
        <v>16056</v>
      </c>
      <c r="M116" s="360"/>
      <c r="N116" s="360"/>
      <c r="O116" s="360" t="s">
        <v>16057</v>
      </c>
      <c r="P116" s="361"/>
      <c r="Q116" s="362"/>
      <c r="R116" s="215" t="str">
        <f ca="1">IF(ISERROR($V116),"",OFFSET('Smelter Look-up'!$C$4,$V116-4,0)&amp;"")</f>
        <v>Istanbul Gold Refinery</v>
      </c>
      <c r="S116" s="222" t="str">
        <f t="shared" ca="1" si="18"/>
        <v>TR</v>
      </c>
      <c r="T116" s="222" t="str">
        <f ca="1">IF(B116="","",IF(ISERROR(MATCH($J116,SorP!$B$1:$B$6230,0)),"",INDIRECT("'SorP'!$A$"&amp;MATCH($J116,SorP!$B$1:$B$6230,0))))</f>
        <v>TR-34</v>
      </c>
      <c r="U116" s="238"/>
      <c r="V116" s="270">
        <f>IF(C116="",NA(),MATCH($B116&amp;$C116,'Smelter Look-up'!$J:$J,0))</f>
        <v>115</v>
      </c>
      <c r="W116" s="271"/>
      <c r="X116" s="271">
        <f t="shared" si="19"/>
        <v>0</v>
      </c>
      <c r="Y116" s="271"/>
      <c r="Z116" s="271"/>
      <c r="AB116" s="273" t="str">
        <f t="shared" si="20"/>
        <v>GoldIstanbul Gold Refinery</v>
      </c>
    </row>
    <row r="117" spans="1:28" s="272" customFormat="1" ht="51">
      <c r="A117" s="363" t="s">
        <v>1724</v>
      </c>
      <c r="B117" s="355" t="s">
        <v>1130</v>
      </c>
      <c r="C117" s="356" t="s">
        <v>2328</v>
      </c>
      <c r="D117" s="357"/>
      <c r="E117" s="355" t="s">
        <v>15751</v>
      </c>
      <c r="F117" s="355" t="s">
        <v>1724</v>
      </c>
      <c r="G117" s="355" t="s">
        <v>13459</v>
      </c>
      <c r="H117" s="358" t="s">
        <v>16058</v>
      </c>
      <c r="I117" s="359" t="s">
        <v>1725</v>
      </c>
      <c r="J117" s="359" t="s">
        <v>13091</v>
      </c>
      <c r="K117" s="360" t="s">
        <v>16059</v>
      </c>
      <c r="L117" s="360" t="s">
        <v>16060</v>
      </c>
      <c r="M117" s="360"/>
      <c r="N117" s="360"/>
      <c r="O117" s="360" t="s">
        <v>16061</v>
      </c>
      <c r="P117" s="361"/>
      <c r="Q117" s="362"/>
      <c r="R117" s="215" t="str">
        <f ca="1">IF(ISERROR($V117),"",OFFSET('Smelter Look-up'!$C$4,$V117-4,0)&amp;"")</f>
        <v>Korea Zinc Co., Ltd.</v>
      </c>
      <c r="S117" s="222" t="str">
        <f t="shared" ca="1" si="18"/>
        <v>KR</v>
      </c>
      <c r="T117" s="222" t="str">
        <f ca="1">IF(B117="","",IF(ISERROR(MATCH($J117,SorP!$B$1:$B$6230,0)),"",INDIRECT("'SorP'!$A$"&amp;MATCH($J117,SorP!$B$1:$B$6230,0))))</f>
        <v>KR-11</v>
      </c>
      <c r="U117" s="238"/>
      <c r="V117" s="270">
        <f>IF(C117="",NA(),MATCH($B117&amp;$C117,'Smelter Look-up'!$J:$J,0))</f>
        <v>140</v>
      </c>
      <c r="W117" s="271"/>
      <c r="X117" s="271">
        <f t="shared" si="19"/>
        <v>0</v>
      </c>
      <c r="Y117" s="271"/>
      <c r="Z117" s="271"/>
      <c r="AB117" s="273" t="str">
        <f t="shared" si="20"/>
        <v>GoldKorea Zinc Co., Ltd.</v>
      </c>
    </row>
    <row r="118" spans="1:28" s="272" customFormat="1" ht="51">
      <c r="A118" s="363" t="s">
        <v>2355</v>
      </c>
      <c r="B118" s="355" t="s">
        <v>1130</v>
      </c>
      <c r="C118" s="356" t="s">
        <v>2354</v>
      </c>
      <c r="D118" s="357"/>
      <c r="E118" s="355" t="s">
        <v>15722</v>
      </c>
      <c r="F118" s="355" t="s">
        <v>2355</v>
      </c>
      <c r="G118" s="355" t="s">
        <v>13459</v>
      </c>
      <c r="H118" s="358" t="s">
        <v>16062</v>
      </c>
      <c r="I118" s="359" t="s">
        <v>2356</v>
      </c>
      <c r="J118" s="359" t="s">
        <v>2357</v>
      </c>
      <c r="K118" s="360" t="s">
        <v>16063</v>
      </c>
      <c r="L118" s="360" t="s">
        <v>16064</v>
      </c>
      <c r="M118" s="360"/>
      <c r="N118" s="360"/>
      <c r="O118" s="360" t="s">
        <v>16065</v>
      </c>
      <c r="P118" s="361"/>
      <c r="Q118" s="362"/>
      <c r="R118" s="215" t="str">
        <f ca="1">IF(ISERROR($V118),"",OFFSET('Smelter Look-up'!$C$4,$V118-4,0)&amp;"")</f>
        <v>TOO Tau-Ken-Altyn</v>
      </c>
      <c r="S118" s="222" t="str">
        <f t="shared" ca="1" si="18"/>
        <v>KZ</v>
      </c>
      <c r="T118" s="222" t="str">
        <f ca="1">IF(B118="","",IF(ISERROR(MATCH($J118,SorP!$B$1:$B$6230,0)),"",INDIRECT("'SorP'!$A$"&amp;MATCH($J118,SorP!$B$1:$B$6230,0))))</f>
        <v>KZ-ALA</v>
      </c>
      <c r="U118" s="238"/>
      <c r="V118" s="270">
        <f>IF(C118="",NA(),MATCH($B118&amp;$C118,'Smelter Look-up'!$J:$J,0))</f>
        <v>280</v>
      </c>
      <c r="W118" s="271"/>
      <c r="X118" s="271">
        <f t="shared" si="19"/>
        <v>0</v>
      </c>
      <c r="Y118" s="271"/>
      <c r="Z118" s="271"/>
      <c r="AB118" s="273" t="str">
        <f t="shared" si="20"/>
        <v>GoldTOO Tau-Ken-Altyn</v>
      </c>
    </row>
    <row r="119" spans="1:28" s="272" customFormat="1" ht="74.25" customHeight="1">
      <c r="A119" s="363" t="s">
        <v>1860</v>
      </c>
      <c r="B119" s="355" t="s">
        <v>1133</v>
      </c>
      <c r="C119" s="356" t="s">
        <v>1859</v>
      </c>
      <c r="D119" s="357"/>
      <c r="E119" s="355" t="s">
        <v>15697</v>
      </c>
      <c r="F119" s="355" t="s">
        <v>1860</v>
      </c>
      <c r="G119" s="355" t="s">
        <v>13459</v>
      </c>
      <c r="H119" s="358" t="s">
        <v>16066</v>
      </c>
      <c r="I119" s="359" t="s">
        <v>1861</v>
      </c>
      <c r="J119" s="359" t="s">
        <v>10236</v>
      </c>
      <c r="K119" s="360" t="s">
        <v>16067</v>
      </c>
      <c r="L119" s="360" t="s">
        <v>16068</v>
      </c>
      <c r="M119" s="360"/>
      <c r="N119" s="360"/>
      <c r="O119" s="360" t="s">
        <v>16069</v>
      </c>
      <c r="P119" s="361"/>
      <c r="Q119" s="362"/>
      <c r="R119" s="215" t="str">
        <f ca="1">IF(ISERROR($V119),"",OFFSET('Smelter Look-up'!$C$4,$V119-4,0)&amp;"")</f>
        <v>Hydrometallurg, JSC</v>
      </c>
      <c r="S119" s="222" t="str">
        <f t="shared" ca="1" si="18"/>
        <v>RU</v>
      </c>
      <c r="T119" s="222" t="str">
        <f ca="1">IF(B119="","",IF(ISERROR(MATCH($J119,SorP!$B$1:$B$6230,0)),"",INDIRECT("'SorP'!$A$"&amp;MATCH($J119,SorP!$B$1:$B$6230,0))))</f>
        <v>RU-KB</v>
      </c>
      <c r="U119" s="238"/>
      <c r="V119" s="270">
        <f>IF(C119="",NA(),MATCH($B119&amp;$C119,'Smelter Look-up'!$J:$J,0))</f>
        <v>571</v>
      </c>
      <c r="W119" s="271"/>
      <c r="X119" s="271">
        <f t="shared" si="19"/>
        <v>0</v>
      </c>
      <c r="Y119" s="271"/>
      <c r="Z119" s="271"/>
      <c r="AB119" s="273" t="str">
        <f t="shared" si="20"/>
        <v>TungstenHydrometallurg, JSC</v>
      </c>
    </row>
    <row r="120" spans="1:28" s="272" customFormat="1" ht="74.25" customHeight="1">
      <c r="A120" s="363" t="s">
        <v>696</v>
      </c>
      <c r="B120" s="355" t="s">
        <v>1130</v>
      </c>
      <c r="C120" s="356" t="s">
        <v>2163</v>
      </c>
      <c r="D120" s="357"/>
      <c r="E120" s="355" t="s">
        <v>15641</v>
      </c>
      <c r="F120" s="355" t="s">
        <v>696</v>
      </c>
      <c r="G120" s="355" t="s">
        <v>13459</v>
      </c>
      <c r="H120" s="358" t="s">
        <v>16070</v>
      </c>
      <c r="I120" s="359" t="s">
        <v>1615</v>
      </c>
      <c r="J120" s="359" t="s">
        <v>1587</v>
      </c>
      <c r="K120" s="360" t="s">
        <v>16071</v>
      </c>
      <c r="L120" s="360" t="s">
        <v>16072</v>
      </c>
      <c r="M120" s="360"/>
      <c r="N120" s="360"/>
      <c r="O120" s="360" t="s">
        <v>16073</v>
      </c>
      <c r="P120" s="361"/>
      <c r="Q120" s="362"/>
      <c r="R120" s="215" t="str">
        <f ca="1">IF(ISERROR($V120),"",OFFSET('Smelter Look-up'!$C$4,$V120-4,0)&amp;"")</f>
        <v>Kojima Chemicals Co., Ltd.</v>
      </c>
      <c r="S120" s="222" t="str">
        <f t="shared" ca="1" si="18"/>
        <v>JP</v>
      </c>
      <c r="T120" s="222" t="str">
        <f ca="1">IF(B120="","",IF(ISERROR(MATCH($J120,SorP!$B$1:$B$6230,0)),"",INDIRECT("'SorP'!$A$"&amp;MATCH($J120,SorP!$B$1:$B$6230,0))))</f>
        <v>JP-11</v>
      </c>
      <c r="U120" s="238"/>
      <c r="V120" s="270">
        <f>IF(C120="",NA(),MATCH($B120&amp;$C120,'Smelter Look-up'!$J:$J,0))</f>
        <v>137</v>
      </c>
      <c r="W120" s="271"/>
      <c r="X120" s="271">
        <f t="shared" si="19"/>
        <v>0</v>
      </c>
      <c r="Y120" s="271"/>
      <c r="Z120" s="271"/>
      <c r="AB120" s="273" t="str">
        <f t="shared" si="20"/>
        <v>GoldKojima Chemicals Co., Ltd.</v>
      </c>
    </row>
    <row r="121" spans="1:28" s="272" customFormat="1" ht="76.5">
      <c r="A121" s="363" t="s">
        <v>713</v>
      </c>
      <c r="B121" s="355" t="s">
        <v>1130</v>
      </c>
      <c r="C121" s="356" t="s">
        <v>12643</v>
      </c>
      <c r="D121" s="357"/>
      <c r="E121" s="355" t="s">
        <v>15680</v>
      </c>
      <c r="F121" s="355" t="s">
        <v>713</v>
      </c>
      <c r="G121" s="355" t="s">
        <v>13459</v>
      </c>
      <c r="H121" s="358" t="s">
        <v>16074</v>
      </c>
      <c r="I121" s="359" t="s">
        <v>1638</v>
      </c>
      <c r="J121" s="359" t="s">
        <v>11478</v>
      </c>
      <c r="K121" s="360" t="s">
        <v>16075</v>
      </c>
      <c r="L121" s="360" t="s">
        <v>16076</v>
      </c>
      <c r="M121" s="360"/>
      <c r="N121" s="360"/>
      <c r="O121" s="360" t="s">
        <v>16077</v>
      </c>
      <c r="P121" s="361"/>
      <c r="Q121" s="362"/>
      <c r="R121" s="215" t="str">
        <f ca="1">IF(ISERROR($V121),"",OFFSET('Smelter Look-up'!$C$4,$V121-4,0)&amp;"")</f>
        <v>Nadir Metal Rafineri San. Ve Tic. A.S.</v>
      </c>
      <c r="S121" s="222" t="str">
        <f t="shared" ca="1" si="18"/>
        <v>TR</v>
      </c>
      <c r="T121" s="222" t="str">
        <f ca="1">IF(B121="","",IF(ISERROR(MATCH($J121,SorP!$B$1:$B$6230,0)),"",INDIRECT("'SorP'!$A$"&amp;MATCH($J121,SorP!$B$1:$B$6230,0))))</f>
        <v>TR-34</v>
      </c>
      <c r="U121" s="238"/>
      <c r="V121" s="270">
        <f>IF(C121="",NA(),MATCH($B121&amp;$C121,'Smelter Look-up'!$J:$J,0))</f>
        <v>184</v>
      </c>
      <c r="W121" s="271"/>
      <c r="X121" s="271">
        <f t="shared" si="19"/>
        <v>0</v>
      </c>
      <c r="Y121" s="271"/>
      <c r="Z121" s="271"/>
      <c r="AB121" s="273" t="str">
        <f t="shared" si="20"/>
        <v>GoldNadir Metal Rafineri San. Ve Tic. A.S.</v>
      </c>
    </row>
    <row r="122" spans="1:28" s="272" customFormat="1" ht="102">
      <c r="A122" s="363" t="s">
        <v>652</v>
      </c>
      <c r="B122" s="355" t="s">
        <v>1130</v>
      </c>
      <c r="C122" s="356" t="s">
        <v>624</v>
      </c>
      <c r="D122" s="357"/>
      <c r="E122" s="355" t="s">
        <v>15857</v>
      </c>
      <c r="F122" s="355" t="s">
        <v>652</v>
      </c>
      <c r="G122" s="355" t="s">
        <v>13459</v>
      </c>
      <c r="H122" s="358" t="s">
        <v>16078</v>
      </c>
      <c r="I122" s="359" t="s">
        <v>1551</v>
      </c>
      <c r="J122" s="359" t="s">
        <v>12224</v>
      </c>
      <c r="K122" s="360" t="s">
        <v>16079</v>
      </c>
      <c r="L122" s="360" t="s">
        <v>16080</v>
      </c>
      <c r="M122" s="360"/>
      <c r="N122" s="360"/>
      <c r="O122" s="360" t="s">
        <v>16081</v>
      </c>
      <c r="P122" s="361"/>
      <c r="Q122" s="362"/>
      <c r="R122" s="215" t="str">
        <f ca="1">IF(ISERROR($V122),"",OFFSET('Smelter Look-up'!$C$4,$V122-4,0)&amp;"")</f>
        <v>Almalyk Mining and Metallurgical Complex (AMMC)</v>
      </c>
      <c r="S122" s="222" t="str">
        <f t="shared" ca="1" si="18"/>
        <v>UZ</v>
      </c>
      <c r="T122" s="222" t="str">
        <f ca="1">IF(B122="","",IF(ISERROR(MATCH($J122,SorP!$B$1:$B$6230,0)),"",INDIRECT("'SorP'!$A$"&amp;MATCH($J122,SorP!$B$1:$B$6230,0))))</f>
        <v>UZ-TK</v>
      </c>
      <c r="U122" s="238"/>
      <c r="V122" s="270">
        <f>IF(C122="",NA(),MATCH($B122&amp;$C122,'Smelter Look-up'!$J:$J,0))</f>
        <v>17</v>
      </c>
      <c r="W122" s="271"/>
      <c r="X122" s="271">
        <f t="shared" si="19"/>
        <v>0</v>
      </c>
      <c r="Y122" s="271"/>
      <c r="Z122" s="271"/>
      <c r="AB122" s="273" t="str">
        <f t="shared" si="20"/>
        <v>GoldAlmalyk Mining and Metallurgical Complex (AMMC)</v>
      </c>
    </row>
    <row r="123" spans="1:28" s="272" customFormat="1" ht="76.5" customHeight="1">
      <c r="A123" s="363" t="s">
        <v>748</v>
      </c>
      <c r="B123" s="355" t="s">
        <v>1132</v>
      </c>
      <c r="C123" s="356" t="s">
        <v>1118</v>
      </c>
      <c r="D123" s="357"/>
      <c r="E123" s="355" t="s">
        <v>15631</v>
      </c>
      <c r="F123" s="355" t="s">
        <v>748</v>
      </c>
      <c r="G123" s="355" t="s">
        <v>13459</v>
      </c>
      <c r="H123" s="358" t="s">
        <v>16082</v>
      </c>
      <c r="I123" s="359" t="s">
        <v>1727</v>
      </c>
      <c r="J123" s="359" t="s">
        <v>1706</v>
      </c>
      <c r="K123" s="360" t="s">
        <v>16083</v>
      </c>
      <c r="L123" s="360" t="s">
        <v>16084</v>
      </c>
      <c r="M123" s="360"/>
      <c r="N123" s="360"/>
      <c r="O123" s="360" t="s">
        <v>16085</v>
      </c>
      <c r="P123" s="361"/>
      <c r="Q123" s="362"/>
      <c r="R123" s="215" t="str">
        <f ca="1">IF(ISERROR($V123),"",OFFSET('Smelter Look-up'!$C$4,$V123-4,0)&amp;"")</f>
        <v>Exotech Inc.</v>
      </c>
      <c r="S123" s="222" t="str">
        <f t="shared" ca="1" si="18"/>
        <v>US</v>
      </c>
      <c r="T123" s="222" t="str">
        <f ca="1">IF(B123="","",IF(ISERROR(MATCH($J123,SorP!$B$1:$B$6230,0)),"",INDIRECT("'SorP'!$A$"&amp;MATCH($J123,SorP!$B$1:$B$6230,0))))</f>
        <v>US-FL</v>
      </c>
      <c r="U123" s="238"/>
      <c r="V123" s="270">
        <f>IF(C123="",NA(),MATCH($B123&amp;$C123,'Smelter Look-up'!$J:$J,0))</f>
        <v>319</v>
      </c>
      <c r="W123" s="271"/>
      <c r="X123" s="271">
        <f t="shared" si="19"/>
        <v>0</v>
      </c>
      <c r="Y123" s="271"/>
      <c r="Z123" s="271"/>
      <c r="AB123" s="273" t="str">
        <f t="shared" si="20"/>
        <v>TantalumExotech Inc.</v>
      </c>
    </row>
    <row r="124" spans="1:28" s="272" customFormat="1" ht="81" customHeight="1">
      <c r="A124" s="363" t="s">
        <v>763</v>
      </c>
      <c r="B124" s="355" t="s">
        <v>1132</v>
      </c>
      <c r="C124" s="356" t="s">
        <v>2476</v>
      </c>
      <c r="D124" s="357"/>
      <c r="E124" s="355" t="s">
        <v>15641</v>
      </c>
      <c r="F124" s="355" t="s">
        <v>763</v>
      </c>
      <c r="G124" s="355" t="s">
        <v>13459</v>
      </c>
      <c r="H124" s="358" t="s">
        <v>16086</v>
      </c>
      <c r="I124" s="359" t="s">
        <v>1746</v>
      </c>
      <c r="J124" s="359" t="s">
        <v>1558</v>
      </c>
      <c r="K124" s="360" t="s">
        <v>16087</v>
      </c>
      <c r="L124" s="360" t="s">
        <v>16088</v>
      </c>
      <c r="M124" s="360"/>
      <c r="N124" s="360"/>
      <c r="O124" s="360" t="s">
        <v>16089</v>
      </c>
      <c r="P124" s="361"/>
      <c r="Q124" s="362"/>
      <c r="R124" s="215" t="str">
        <f ca="1">IF(ISERROR($V124),"",OFFSET('Smelter Look-up'!$C$4,$V124-4,0)&amp;"")</f>
        <v>Taki Chemical Co., Ltd.</v>
      </c>
      <c r="S124" s="222" t="str">
        <f t="shared" ca="1" si="18"/>
        <v>JP</v>
      </c>
      <c r="T124" s="222" t="str">
        <f ca="1">IF(B124="","",IF(ISERROR(MATCH($J124,SorP!$B$1:$B$6230,0)),"",INDIRECT("'SorP'!$A$"&amp;MATCH($J124,SorP!$B$1:$B$6230,0))))</f>
        <v>JP-28</v>
      </c>
      <c r="U124" s="238"/>
      <c r="V124" s="270">
        <f>IF(C124="",NA(),MATCH($B124&amp;$C124,'Smelter Look-up'!$J:$J,0))</f>
        <v>366</v>
      </c>
      <c r="W124" s="271"/>
      <c r="X124" s="271">
        <f t="shared" si="19"/>
        <v>0</v>
      </c>
      <c r="Y124" s="271"/>
      <c r="Z124" s="271"/>
      <c r="AB124" s="273" t="str">
        <f t="shared" si="20"/>
        <v>TantalumTaki Chemical Co., Ltd.</v>
      </c>
    </row>
    <row r="125" spans="1:28" s="272" customFormat="1" ht="81.75" customHeight="1">
      <c r="A125" s="363" t="s">
        <v>1400</v>
      </c>
      <c r="B125" s="355" t="s">
        <v>1132</v>
      </c>
      <c r="C125" s="356" t="s">
        <v>2187</v>
      </c>
      <c r="D125" s="357"/>
      <c r="E125" s="355" t="s">
        <v>15646</v>
      </c>
      <c r="F125" s="355" t="s">
        <v>1400</v>
      </c>
      <c r="G125" s="355" t="s">
        <v>13459</v>
      </c>
      <c r="H125" s="358" t="s">
        <v>16090</v>
      </c>
      <c r="I125" s="359" t="s">
        <v>1755</v>
      </c>
      <c r="J125" s="359" t="s">
        <v>13847</v>
      </c>
      <c r="K125" s="360" t="s">
        <v>16091</v>
      </c>
      <c r="L125" s="360" t="s">
        <v>16092</v>
      </c>
      <c r="M125" s="360"/>
      <c r="N125" s="360"/>
      <c r="O125" s="360" t="s">
        <v>16093</v>
      </c>
      <c r="P125" s="361"/>
      <c r="Q125" s="362"/>
      <c r="R125" s="215" t="str">
        <f ca="1">IF(ISERROR($V125),"",OFFSET('Smelter Look-up'!$C$4,$V125-4,0)&amp;"")</f>
        <v>XinXing HaoRong Electronic Material Co., Ltd.</v>
      </c>
      <c r="S125" s="222" t="str">
        <f t="shared" ca="1" si="18"/>
        <v>CN</v>
      </c>
      <c r="T125" s="222" t="str">
        <f ca="1">IF(B125="","",IF(ISERROR(MATCH($J125,SorP!$B$1:$B$6230,0)),"",INDIRECT("'SorP'!$A$"&amp;MATCH($J125,SorP!$B$1:$B$6230,0))))</f>
        <v>CN-GD</v>
      </c>
      <c r="U125" s="238"/>
      <c r="V125" s="270">
        <f>IF(C125="",NA(),MATCH($B125&amp;$C125,'Smelter Look-up'!$J:$J,0))</f>
        <v>376</v>
      </c>
      <c r="W125" s="271"/>
      <c r="X125" s="271">
        <f t="shared" si="19"/>
        <v>0</v>
      </c>
      <c r="Y125" s="271"/>
      <c r="Z125" s="271"/>
      <c r="AB125" s="273" t="str">
        <f t="shared" si="20"/>
        <v>TantalumXinXing HaoRong Electronic Material Co., Ltd.</v>
      </c>
    </row>
    <row r="126" spans="1:28" s="272" customFormat="1" ht="96" customHeight="1">
      <c r="A126" s="363" t="s">
        <v>1802</v>
      </c>
      <c r="B126" s="355" t="s">
        <v>1131</v>
      </c>
      <c r="C126" s="356" t="s">
        <v>13400</v>
      </c>
      <c r="D126" s="357"/>
      <c r="E126" s="355" t="s">
        <v>15646</v>
      </c>
      <c r="F126" s="355" t="s">
        <v>1802</v>
      </c>
      <c r="G126" s="355" t="s">
        <v>13459</v>
      </c>
      <c r="H126" s="358" t="s">
        <v>16094</v>
      </c>
      <c r="I126" s="359" t="s">
        <v>1787</v>
      </c>
      <c r="J126" s="359" t="s">
        <v>13842</v>
      </c>
      <c r="K126" s="360" t="s">
        <v>16095</v>
      </c>
      <c r="L126" s="360" t="s">
        <v>16096</v>
      </c>
      <c r="M126" s="360"/>
      <c r="N126" s="360"/>
      <c r="O126" s="360" t="s">
        <v>16097</v>
      </c>
      <c r="P126" s="361"/>
      <c r="Q126" s="362"/>
      <c r="R126" s="215" t="str">
        <f ca="1">IF(ISERROR($V126),"",OFFSET('Smelter Look-up'!$C$4,$V126-4,0)&amp;"")</f>
        <v>Jiangxi New Nanshan Technology Ltd.</v>
      </c>
      <c r="S126" s="222" t="str">
        <f t="shared" ca="1" si="18"/>
        <v>CN</v>
      </c>
      <c r="T126" s="222" t="str">
        <f ca="1">IF(B126="","",IF(ISERROR(MATCH($J126,SorP!$B$1:$B$6230,0)),"",INDIRECT("'SorP'!$A$"&amp;MATCH($J126,SorP!$B$1:$B$6230,0))))</f>
        <v>CN-JX</v>
      </c>
      <c r="U126" s="238"/>
      <c r="V126" s="270">
        <f>IF(C126="",NA(),MATCH($B126&amp;$C126,'Smelter Look-up'!$J:$J,0))</f>
        <v>440</v>
      </c>
      <c r="W126" s="271"/>
      <c r="X126" s="271">
        <f t="shared" si="19"/>
        <v>0</v>
      </c>
      <c r="Y126" s="271"/>
      <c r="Z126" s="271"/>
      <c r="AB126" s="273" t="str">
        <f t="shared" si="20"/>
        <v>TinJiangxi New Nanshan Technology Ltd.</v>
      </c>
    </row>
    <row r="127" spans="1:28" s="272" customFormat="1" ht="102">
      <c r="A127" s="363" t="s">
        <v>723</v>
      </c>
      <c r="B127" s="355" t="s">
        <v>1130</v>
      </c>
      <c r="C127" s="356" t="s">
        <v>2174</v>
      </c>
      <c r="D127" s="357"/>
      <c r="E127" s="355" t="s">
        <v>16098</v>
      </c>
      <c r="F127" s="355" t="s">
        <v>723</v>
      </c>
      <c r="G127" s="355" t="s">
        <v>13459</v>
      </c>
      <c r="H127" s="358" t="s">
        <v>16099</v>
      </c>
      <c r="I127" s="359" t="s">
        <v>1651</v>
      </c>
      <c r="J127" s="359" t="s">
        <v>1652</v>
      </c>
      <c r="K127" s="360" t="s">
        <v>16100</v>
      </c>
      <c r="L127" s="360" t="s">
        <v>16101</v>
      </c>
      <c r="M127" s="360"/>
      <c r="N127" s="360"/>
      <c r="O127" s="360" t="s">
        <v>16102</v>
      </c>
      <c r="P127" s="361"/>
      <c r="Q127" s="362"/>
      <c r="R127" s="215" t="str">
        <f ca="1">IF(ISERROR($V127),"",OFFSET('Smelter Look-up'!$C$4,$V127-4,0)&amp;"")</f>
        <v>Rand Refinery (Pty) Ltd.</v>
      </c>
      <c r="S127" s="222" t="str">
        <f t="shared" ca="1" si="18"/>
        <v>ZA</v>
      </c>
      <c r="T127" s="222" t="str">
        <f ca="1">IF(B127="","",IF(ISERROR(MATCH($J127,SorP!$B$1:$B$6230,0)),"",INDIRECT("'SorP'!$A$"&amp;MATCH($J127,SorP!$B$1:$B$6230,0))))</f>
        <v>ZA-GT</v>
      </c>
      <c r="U127" s="238"/>
      <c r="V127" s="270">
        <f>IF(C127="",NA(),MATCH($B127&amp;$C127,'Smelter Look-up'!$J:$J,0))</f>
        <v>210</v>
      </c>
      <c r="W127" s="271"/>
      <c r="X127" s="271">
        <f t="shared" si="19"/>
        <v>0</v>
      </c>
      <c r="Y127" s="271"/>
      <c r="Z127" s="271"/>
      <c r="AB127" s="273" t="str">
        <f t="shared" si="20"/>
        <v>GoldRand Refinery (Pty) Ltd.</v>
      </c>
    </row>
    <row r="128" spans="1:28" s="272" customFormat="1" ht="51">
      <c r="A128" s="363" t="s">
        <v>14048</v>
      </c>
      <c r="B128" s="355" t="s">
        <v>1133</v>
      </c>
      <c r="C128" s="356" t="s">
        <v>14047</v>
      </c>
      <c r="D128" s="357"/>
      <c r="E128" s="355" t="s">
        <v>15751</v>
      </c>
      <c r="F128" s="355" t="s">
        <v>14048</v>
      </c>
      <c r="G128" s="355" t="s">
        <v>13459</v>
      </c>
      <c r="H128" s="358" t="s">
        <v>16103</v>
      </c>
      <c r="I128" s="359" t="s">
        <v>14062</v>
      </c>
      <c r="J128" s="359" t="s">
        <v>13085</v>
      </c>
      <c r="K128" s="360" t="s">
        <v>16104</v>
      </c>
      <c r="L128" s="360" t="s">
        <v>16105</v>
      </c>
      <c r="M128" s="360"/>
      <c r="N128" s="360"/>
      <c r="O128" s="360" t="s">
        <v>15712</v>
      </c>
      <c r="P128" s="361"/>
      <c r="Q128" s="362"/>
      <c r="R128" s="215" t="str">
        <f ca="1">IF(ISERROR($V128),"",OFFSET('Smelter Look-up'!$C$4,$V128-4,0)&amp;"")</f>
        <v>KGETS Co., Ltd.</v>
      </c>
      <c r="S128" s="222" t="str">
        <f t="shared" ca="1" si="18"/>
        <v>KR</v>
      </c>
      <c r="T128" s="222" t="str">
        <f ca="1">IF(B128="","",IF(ISERROR(MATCH($J128,SorP!$B$1:$B$6230,0)),"",INDIRECT("'SorP'!$A$"&amp;MATCH($J128,SorP!$B$1:$B$6230,0))))</f>
        <v>KR-41</v>
      </c>
      <c r="U128" s="238"/>
      <c r="V128" s="270">
        <f>IF(C128="",NA(),MATCH($B128&amp;$C128,'Smelter Look-up'!$J:$J,0))</f>
        <v>584</v>
      </c>
      <c r="W128" s="271"/>
      <c r="X128" s="271">
        <f t="shared" si="19"/>
        <v>0</v>
      </c>
      <c r="Y128" s="271"/>
      <c r="Z128" s="271"/>
      <c r="AB128" s="273" t="str">
        <f t="shared" si="20"/>
        <v>TungstenKGETS Co., Ltd.</v>
      </c>
    </row>
    <row r="129" spans="1:28" s="272" customFormat="1" ht="102">
      <c r="A129" s="363" t="s">
        <v>14036</v>
      </c>
      <c r="B129" s="355" t="s">
        <v>1131</v>
      </c>
      <c r="C129" s="356" t="s">
        <v>14035</v>
      </c>
      <c r="D129" s="357"/>
      <c r="E129" s="355" t="s">
        <v>15646</v>
      </c>
      <c r="F129" s="355" t="s">
        <v>14036</v>
      </c>
      <c r="G129" s="355" t="s">
        <v>13459</v>
      </c>
      <c r="H129" s="358" t="s">
        <v>16106</v>
      </c>
      <c r="I129" s="359" t="s">
        <v>2477</v>
      </c>
      <c r="J129" s="359" t="s">
        <v>13851</v>
      </c>
      <c r="K129" s="360" t="s">
        <v>16107</v>
      </c>
      <c r="L129" s="360" t="s">
        <v>16108</v>
      </c>
      <c r="M129" s="360"/>
      <c r="N129" s="360"/>
      <c r="O129" s="360" t="s">
        <v>15712</v>
      </c>
      <c r="P129" s="361"/>
      <c r="Q129" s="362"/>
      <c r="R129" s="215" t="str">
        <f ca="1">IF(ISERROR($V129),"",OFFSET('Smelter Look-up'!$C$4,$V129-4,0)&amp;"")</f>
        <v>Yunnan Yunfan Non-ferrous Metals Co., Ltd.</v>
      </c>
      <c r="S129" s="222" t="str">
        <f t="shared" ca="1" si="18"/>
        <v>CN</v>
      </c>
      <c r="T129" s="222" t="str">
        <f ca="1">IF(B129="","",IF(ISERROR(MATCH($J129,SorP!$B$1:$B$6230,0)),"",INDIRECT("'SorP'!$A$"&amp;MATCH($J129,SorP!$B$1:$B$6230,0))))</f>
        <v>CN-YN</v>
      </c>
      <c r="U129" s="238"/>
      <c r="V129" s="270">
        <f>IF(C129="",NA(),MATCH($B129&amp;$C129,'Smelter Look-up'!$J:$J,0))</f>
        <v>528</v>
      </c>
      <c r="W129" s="271"/>
      <c r="X129" s="271">
        <f t="shared" si="19"/>
        <v>0</v>
      </c>
      <c r="Y129" s="271"/>
      <c r="Z129" s="271"/>
      <c r="AB129" s="273" t="str">
        <f t="shared" si="20"/>
        <v>TinYunnan Yunfan Non-ferrous Metals Co., Ltd.</v>
      </c>
    </row>
    <row r="130" spans="1:28" s="272" customFormat="1" ht="76.5">
      <c r="A130" s="363" t="s">
        <v>14043</v>
      </c>
      <c r="B130" s="355" t="s">
        <v>1133</v>
      </c>
      <c r="C130" s="356" t="s">
        <v>14042</v>
      </c>
      <c r="D130" s="357"/>
      <c r="E130" s="355" t="s">
        <v>15646</v>
      </c>
      <c r="F130" s="355" t="s">
        <v>14043</v>
      </c>
      <c r="G130" s="355" t="s">
        <v>13459</v>
      </c>
      <c r="H130" s="358" t="s">
        <v>16109</v>
      </c>
      <c r="I130" s="359" t="s">
        <v>14068</v>
      </c>
      <c r="J130" s="359" t="s">
        <v>13841</v>
      </c>
      <c r="K130" s="360" t="s">
        <v>16110</v>
      </c>
      <c r="L130" s="360" t="s">
        <v>16111</v>
      </c>
      <c r="M130" s="360"/>
      <c r="N130" s="360"/>
      <c r="O130" s="360" t="s">
        <v>15712</v>
      </c>
      <c r="P130" s="361"/>
      <c r="Q130" s="362"/>
      <c r="R130" s="215" t="str">
        <f ca="1">IF(ISERROR($V130),"",OFFSET('Smelter Look-up'!$C$4,$V130-4,0)&amp;"")</f>
        <v>Fujian Ganmin RareMetal Co., Ltd.</v>
      </c>
      <c r="S130" s="222" t="str">
        <f t="shared" ca="1" si="18"/>
        <v>CN</v>
      </c>
      <c r="T130" s="222" t="str">
        <f ca="1">IF(B130="","",IF(ISERROR(MATCH($J130,SorP!$B$1:$B$6230,0)),"",INDIRECT("'SorP'!$A$"&amp;MATCH($J130,SorP!$B$1:$B$6230,0))))</f>
        <v>CN-FJ</v>
      </c>
      <c r="U130" s="238"/>
      <c r="V130" s="270">
        <f>IF(C130="",NA(),MATCH($B130&amp;$C130,'Smelter Look-up'!$J:$J,0))</f>
        <v>553</v>
      </c>
      <c r="W130" s="271"/>
      <c r="X130" s="271">
        <f t="shared" si="19"/>
        <v>0</v>
      </c>
      <c r="Y130" s="271"/>
      <c r="Z130" s="271"/>
      <c r="AB130" s="273" t="str">
        <f t="shared" si="20"/>
        <v>TungstenFujian Ganmin RareMetal Co., Ltd.</v>
      </c>
    </row>
    <row r="131" spans="1:28" s="272" customFormat="1" ht="63.75">
      <c r="A131" s="363" t="s">
        <v>14050</v>
      </c>
      <c r="B131" s="355" t="s">
        <v>1133</v>
      </c>
      <c r="C131" s="356" t="s">
        <v>14049</v>
      </c>
      <c r="D131" s="357"/>
      <c r="E131" s="355" t="s">
        <v>15802</v>
      </c>
      <c r="F131" s="355" t="s">
        <v>14050</v>
      </c>
      <c r="G131" s="355" t="s">
        <v>13459</v>
      </c>
      <c r="H131" s="358" t="s">
        <v>16112</v>
      </c>
      <c r="I131" s="359" t="s">
        <v>14063</v>
      </c>
      <c r="J131" s="359" t="s">
        <v>11694</v>
      </c>
      <c r="K131" s="360" t="s">
        <v>16113</v>
      </c>
      <c r="L131" s="360" t="s">
        <v>16114</v>
      </c>
      <c r="M131" s="360"/>
      <c r="N131" s="360"/>
      <c r="O131" s="360" t="s">
        <v>15712</v>
      </c>
      <c r="P131" s="361"/>
      <c r="Q131" s="362"/>
      <c r="R131" s="215" t="str">
        <f ca="1">IF(ISERROR($V131),"",OFFSET('Smelter Look-up'!$C$4,$V131-4,0)&amp;"")</f>
        <v>Lianyou Metals Co., Ltd.</v>
      </c>
      <c r="S131" s="222" t="str">
        <f t="shared" ca="1" si="18"/>
        <v>TW</v>
      </c>
      <c r="T131" s="222" t="str">
        <f ca="1">IF(B131="","",IF(ISERROR(MATCH($J131,SorP!$B$1:$B$6230,0)),"",INDIRECT("'SorP'!$A$"&amp;MATCH($J131,SorP!$B$1:$B$6230,0))))</f>
        <v>TW-PIF</v>
      </c>
      <c r="U131" s="238"/>
      <c r="V131" s="270">
        <f>IF(C131="",NA(),MATCH($B131&amp;$C131,'Smelter Look-up'!$J:$J,0))</f>
        <v>585</v>
      </c>
      <c r="W131" s="271"/>
      <c r="X131" s="271">
        <f t="shared" si="19"/>
        <v>0</v>
      </c>
      <c r="Y131" s="271"/>
      <c r="Z131" s="271"/>
      <c r="AB131" s="273" t="str">
        <f t="shared" si="20"/>
        <v>TungstenLianyou Metals Co., Ltd.</v>
      </c>
    </row>
    <row r="132" spans="1:28" s="272" customFormat="1" ht="76.5">
      <c r="A132" s="363" t="s">
        <v>14046</v>
      </c>
      <c r="B132" s="355" t="s">
        <v>1133</v>
      </c>
      <c r="C132" s="356" t="s">
        <v>14045</v>
      </c>
      <c r="D132" s="357"/>
      <c r="E132" s="355" t="s">
        <v>15697</v>
      </c>
      <c r="F132" s="355" t="s">
        <v>14046</v>
      </c>
      <c r="G132" s="355" t="s">
        <v>13459</v>
      </c>
      <c r="H132" s="358" t="s">
        <v>16115</v>
      </c>
      <c r="I132" s="359" t="s">
        <v>14061</v>
      </c>
      <c r="J132" s="359" t="s">
        <v>10153</v>
      </c>
      <c r="K132" s="360" t="s">
        <v>16116</v>
      </c>
      <c r="L132" s="360" t="s">
        <v>16117</v>
      </c>
      <c r="M132" s="360"/>
      <c r="N132" s="360"/>
      <c r="O132" s="360" t="s">
        <v>15712</v>
      </c>
      <c r="P132" s="361"/>
      <c r="Q132" s="362"/>
      <c r="R132" s="215" t="str">
        <f ca="1">IF(ISERROR($V132),"",OFFSET('Smelter Look-up'!$C$4,$V132-4,0)&amp;"")</f>
        <v>JSC "Kirovgrad Hard Alloys Plant"</v>
      </c>
      <c r="S132" s="222" t="str">
        <f t="shared" ca="1" si="18"/>
        <v>RU</v>
      </c>
      <c r="T132" s="222" t="str">
        <f ca="1">IF(B132="","",IF(ISERROR(MATCH($J132,SorP!$B$1:$B$6230,0)),"",INDIRECT("'SorP'!$A$"&amp;MATCH($J132,SorP!$B$1:$B$6230,0))))</f>
        <v>RU-SVE</v>
      </c>
      <c r="U132" s="238"/>
      <c r="V132" s="270">
        <f>IF(C132="",NA(),MATCH($B132&amp;$C132,'Smelter Look-up'!$J:$J,0))</f>
        <v>581</v>
      </c>
      <c r="W132" s="271"/>
      <c r="X132" s="271">
        <f t="shared" si="19"/>
        <v>0</v>
      </c>
      <c r="Y132" s="271"/>
      <c r="Z132" s="271"/>
      <c r="AB132" s="273" t="str">
        <f t="shared" si="20"/>
        <v>TungstenJSC "Kirovgrad Hard Alloys Plant"</v>
      </c>
    </row>
    <row r="133" spans="1:28" s="272" customFormat="1" ht="76.5">
      <c r="A133" s="363" t="s">
        <v>14032</v>
      </c>
      <c r="B133" s="355" t="s">
        <v>1131</v>
      </c>
      <c r="C133" s="356" t="s">
        <v>14031</v>
      </c>
      <c r="D133" s="357"/>
      <c r="E133" s="355" t="s">
        <v>15958</v>
      </c>
      <c r="F133" s="355" t="s">
        <v>14032</v>
      </c>
      <c r="G133" s="355" t="s">
        <v>13459</v>
      </c>
      <c r="H133" s="358" t="s">
        <v>16118</v>
      </c>
      <c r="I133" s="359" t="s">
        <v>14058</v>
      </c>
      <c r="J133" s="359" t="s">
        <v>6240</v>
      </c>
      <c r="K133" s="360" t="s">
        <v>16119</v>
      </c>
      <c r="L133" s="360" t="s">
        <v>16120</v>
      </c>
      <c r="M133" s="360"/>
      <c r="N133" s="360"/>
      <c r="O133" s="360" t="s">
        <v>15712</v>
      </c>
      <c r="P133" s="361"/>
      <c r="Q133" s="362"/>
      <c r="R133" s="215" t="str">
        <f ca="1">IF(ISERROR($V133),"",OFFSET('Smelter Look-up'!$C$4,$V133-4,0)&amp;"")</f>
        <v>Precious Minerals and Smelting Limited</v>
      </c>
      <c r="S133" s="222" t="str">
        <f t="shared" ca="1" si="18"/>
        <v>IN</v>
      </c>
      <c r="T133" s="222" t="str">
        <f ca="1">IF(B133="","",IF(ISERROR(MATCH($J133,SorP!$B$1:$B$6230,0)),"",INDIRECT("'SorP'!$A$"&amp;MATCH($J133,SorP!$B$1:$B$6230,0))))</f>
        <v>IN-CT</v>
      </c>
      <c r="U133" s="238"/>
      <c r="V133" s="270">
        <f>IF(C133="",NA(),MATCH($B133&amp;$C133,'Smelter Look-up'!$J:$J,0))</f>
        <v>474</v>
      </c>
      <c r="W133" s="271"/>
      <c r="X133" s="271">
        <f t="shared" si="19"/>
        <v>0</v>
      </c>
      <c r="Y133" s="271"/>
      <c r="Z133" s="271"/>
      <c r="AB133" s="273" t="str">
        <f t="shared" si="20"/>
        <v>TinPrecious Minerals and Smelting Limited</v>
      </c>
    </row>
    <row r="134" spans="1:28" s="272" customFormat="1" ht="102">
      <c r="A134" s="363" t="s">
        <v>2303</v>
      </c>
      <c r="B134" s="355" t="s">
        <v>1131</v>
      </c>
      <c r="C134" s="356" t="s">
        <v>2363</v>
      </c>
      <c r="D134" s="357"/>
      <c r="E134" s="355" t="s">
        <v>15646</v>
      </c>
      <c r="F134" s="355" t="s">
        <v>2303</v>
      </c>
      <c r="G134" s="355" t="s">
        <v>13459</v>
      </c>
      <c r="H134" s="358" t="s">
        <v>16121</v>
      </c>
      <c r="I134" s="359" t="s">
        <v>1788</v>
      </c>
      <c r="J134" s="359" t="s">
        <v>13846</v>
      </c>
      <c r="K134" s="360" t="s">
        <v>16122</v>
      </c>
      <c r="L134" s="360" t="s">
        <v>16123</v>
      </c>
      <c r="M134" s="360"/>
      <c r="N134" s="360"/>
      <c r="O134" s="360" t="s">
        <v>16124</v>
      </c>
      <c r="P134" s="361"/>
      <c r="Q134" s="362"/>
      <c r="R134" s="215" t="str">
        <f ca="1">IF(ISERROR($V134),"",OFFSET('Smelter Look-up'!$C$4,$V134-4,0)&amp;"")</f>
        <v>Chenzhou Yunxiang Mining and Metallurgy Co., Ltd.</v>
      </c>
      <c r="S134" s="222" t="str">
        <f t="shared" ca="1" si="18"/>
        <v>CN</v>
      </c>
      <c r="T134" s="222" t="str">
        <f ca="1">IF(B134="","",IF(ISERROR(MATCH($J134,SorP!$B$1:$B$6230,0)),"",INDIRECT("'SorP'!$A$"&amp;MATCH($J134,SorP!$B$1:$B$6230,0))))</f>
        <v>CN-HN</v>
      </c>
      <c r="U134" s="238"/>
      <c r="V134" s="270">
        <f>IF(C134="",NA(),MATCH($B134&amp;$C134,'Smelter Look-up'!$J:$J,0))</f>
        <v>392</v>
      </c>
      <c r="W134" s="271"/>
      <c r="X134" s="271">
        <f t="shared" si="19"/>
        <v>0</v>
      </c>
      <c r="Y134" s="271"/>
      <c r="Z134" s="271"/>
      <c r="AB134" s="273" t="str">
        <f t="shared" si="20"/>
        <v>TinChenzhou Yunxiang Mining and Metallurgy Co., Ltd.</v>
      </c>
    </row>
    <row r="135" spans="1:28" s="272" customFormat="1" ht="38.25">
      <c r="A135" s="363" t="s">
        <v>666</v>
      </c>
      <c r="B135" s="355" t="s">
        <v>1130</v>
      </c>
      <c r="C135" s="356" t="s">
        <v>53</v>
      </c>
      <c r="D135" s="357"/>
      <c r="E135" s="355" t="s">
        <v>16125</v>
      </c>
      <c r="F135" s="355" t="s">
        <v>666</v>
      </c>
      <c r="G135" s="355" t="s">
        <v>13459</v>
      </c>
      <c r="H135" s="358" t="s">
        <v>16126</v>
      </c>
      <c r="I135" s="359" t="s">
        <v>1576</v>
      </c>
      <c r="J135" s="359" t="s">
        <v>6576</v>
      </c>
      <c r="K135" s="360" t="s">
        <v>16127</v>
      </c>
      <c r="L135" s="360" t="s">
        <v>16128</v>
      </c>
      <c r="M135" s="360"/>
      <c r="N135" s="360"/>
      <c r="O135" s="360" t="s">
        <v>16129</v>
      </c>
      <c r="P135" s="361"/>
      <c r="Q135" s="362"/>
      <c r="R135" s="215" t="str">
        <f ca="1">IF(ISERROR($V135),"",OFFSET('Smelter Look-up'!$C$4,$V135-4,0)&amp;"")</f>
        <v>Chimet S.p.A.</v>
      </c>
      <c r="S135" s="222" t="str">
        <f t="shared" ca="1" si="18"/>
        <v>IT</v>
      </c>
      <c r="T135" s="222" t="str">
        <f ca="1">IF(B135="","",IF(ISERROR(MATCH($J135,SorP!$B$1:$B$6230,0)),"",INDIRECT("'SorP'!$A$"&amp;MATCH($J135,SorP!$B$1:$B$6230,0))))</f>
        <v>IT-52</v>
      </c>
      <c r="U135" s="238"/>
      <c r="V135" s="270">
        <f>IF(C135="",NA(),MATCH($B135&amp;$C135,'Smelter Look-up'!$J:$J,0))</f>
        <v>52</v>
      </c>
      <c r="W135" s="271"/>
      <c r="X135" s="271">
        <f t="shared" si="19"/>
        <v>0</v>
      </c>
      <c r="Y135" s="271"/>
      <c r="Z135" s="271"/>
      <c r="AB135" s="273" t="str">
        <f t="shared" si="20"/>
        <v>GoldChimet S.p.A.</v>
      </c>
    </row>
    <row r="136" spans="1:28" s="272" customFormat="1" ht="85.5" customHeight="1">
      <c r="A136" s="363" t="s">
        <v>770</v>
      </c>
      <c r="B136" s="355" t="s">
        <v>1131</v>
      </c>
      <c r="C136" s="356" t="s">
        <v>2160</v>
      </c>
      <c r="D136" s="357"/>
      <c r="E136" s="355" t="s">
        <v>15646</v>
      </c>
      <c r="F136" s="355" t="s">
        <v>770</v>
      </c>
      <c r="G136" s="355" t="s">
        <v>13459</v>
      </c>
      <c r="H136" s="358" t="s">
        <v>16130</v>
      </c>
      <c r="I136" s="359" t="s">
        <v>2477</v>
      </c>
      <c r="J136" s="359" t="s">
        <v>13851</v>
      </c>
      <c r="K136" s="360" t="s">
        <v>16131</v>
      </c>
      <c r="L136" s="360" t="s">
        <v>16132</v>
      </c>
      <c r="M136" s="360"/>
      <c r="N136" s="360"/>
      <c r="O136" s="360" t="s">
        <v>16133</v>
      </c>
      <c r="P136" s="361"/>
      <c r="Q136" s="362"/>
      <c r="R136" s="215" t="str">
        <f ca="1">IF(ISERROR($V136),"",OFFSET('Smelter Look-up'!$C$4,$V136-4,0)&amp;"")</f>
        <v>Gejiu Non-Ferrous Metal Processing Co., Ltd.</v>
      </c>
      <c r="S136" s="222" t="str">
        <f t="shared" ca="1" si="18"/>
        <v>CN</v>
      </c>
      <c r="T136" s="222" t="str">
        <f ca="1">IF(B136="","",IF(ISERROR(MATCH($J136,SorP!$B$1:$B$6230,0)),"",INDIRECT("'SorP'!$A$"&amp;MATCH($J136,SorP!$B$1:$B$6230,0))))</f>
        <v>CN-YN</v>
      </c>
      <c r="U136" s="238"/>
      <c r="V136" s="270">
        <f>IF(C136="",NA(),MATCH($B136&amp;$C136,'Smelter Look-up'!$J:$J,0))</f>
        <v>428</v>
      </c>
      <c r="W136" s="271"/>
      <c r="X136" s="271">
        <f t="shared" si="19"/>
        <v>0</v>
      </c>
      <c r="Y136" s="271"/>
      <c r="Z136" s="271"/>
      <c r="AB136" s="273" t="str">
        <f t="shared" si="20"/>
        <v>TinGejiu Non-Ferrous Metal Processing Co., Ltd.</v>
      </c>
    </row>
    <row r="137" spans="1:28" s="272" customFormat="1" ht="76.5">
      <c r="A137" s="363" t="s">
        <v>1391</v>
      </c>
      <c r="B137" s="355" t="s">
        <v>1130</v>
      </c>
      <c r="C137" s="356" t="s">
        <v>2188</v>
      </c>
      <c r="D137" s="357"/>
      <c r="E137" s="355" t="s">
        <v>15958</v>
      </c>
      <c r="F137" s="355" t="s">
        <v>1391</v>
      </c>
      <c r="G137" s="355" t="s">
        <v>13459</v>
      </c>
      <c r="H137" s="358" t="s">
        <v>16134</v>
      </c>
      <c r="I137" s="359" t="s">
        <v>1704</v>
      </c>
      <c r="J137" s="359" t="s">
        <v>1705</v>
      </c>
      <c r="K137" s="360" t="s">
        <v>16135</v>
      </c>
      <c r="L137" s="360" t="s">
        <v>16136</v>
      </c>
      <c r="M137" s="360"/>
      <c r="N137" s="360"/>
      <c r="O137" s="360" t="s">
        <v>16137</v>
      </c>
      <c r="P137" s="361"/>
      <c r="Q137" s="362"/>
      <c r="R137" s="215" t="str">
        <f ca="1">IF(ISERROR($V137),"",OFFSET('Smelter Look-up'!$C$4,$V137-4,0)&amp;"")</f>
        <v>MMTC-PAMP India Pvt., Ltd.</v>
      </c>
      <c r="S137" s="222" t="str">
        <f t="shared" ca="1" si="18"/>
        <v>IN</v>
      </c>
      <c r="T137" s="222" t="str">
        <f ca="1">IF(B137="","",IF(ISERROR(MATCH($J137,SorP!$B$1:$B$6230,0)),"",INDIRECT("'SorP'!$A$"&amp;MATCH($J137,SorP!$B$1:$B$6230,0))))</f>
        <v>IN-HR</v>
      </c>
      <c r="U137" s="238"/>
      <c r="V137" s="270">
        <f>IF(C137="",NA(),MATCH($B137&amp;$C137,'Smelter Look-up'!$J:$J,0))</f>
        <v>180</v>
      </c>
      <c r="W137" s="271"/>
      <c r="X137" s="271">
        <f t="shared" si="19"/>
        <v>0</v>
      </c>
      <c r="Y137" s="271"/>
      <c r="Z137" s="271"/>
      <c r="AB137" s="273" t="str">
        <f t="shared" si="20"/>
        <v>GoldMMTC-PAMP India Pvt., Ltd.</v>
      </c>
    </row>
    <row r="138" spans="1:28" s="272" customFormat="1" ht="99.75" customHeight="1">
      <c r="A138" s="363" t="s">
        <v>1829</v>
      </c>
      <c r="B138" s="355" t="s">
        <v>1131</v>
      </c>
      <c r="C138" s="356" t="s">
        <v>12646</v>
      </c>
      <c r="D138" s="357"/>
      <c r="E138" s="355" t="s">
        <v>15626</v>
      </c>
      <c r="F138" s="355" t="s">
        <v>1829</v>
      </c>
      <c r="G138" s="355" t="s">
        <v>13459</v>
      </c>
      <c r="H138" s="358" t="s">
        <v>16138</v>
      </c>
      <c r="I138" s="359" t="s">
        <v>1732</v>
      </c>
      <c r="J138" s="359" t="s">
        <v>1771</v>
      </c>
      <c r="K138" s="360" t="s">
        <v>16139</v>
      </c>
      <c r="L138" s="360" t="s">
        <v>16140</v>
      </c>
      <c r="M138" s="360"/>
      <c r="N138" s="360"/>
      <c r="O138" s="360" t="s">
        <v>16141</v>
      </c>
      <c r="P138" s="361"/>
      <c r="Q138" s="362"/>
      <c r="R138" s="215" t="str">
        <f ca="1">IF(ISERROR($V138),"",OFFSET('Smelter Look-up'!$C$4,$V138-4,0)&amp;"")</f>
        <v>Resind Industria e Comercio Ltda.</v>
      </c>
      <c r="S138" s="222" t="str">
        <f t="shared" ca="1" si="18"/>
        <v>BR</v>
      </c>
      <c r="T138" s="222" t="str">
        <f ca="1">IF(B138="","",IF(ISERROR(MATCH($J138,SorP!$B$1:$B$6230,0)),"",INDIRECT("'SorP'!$A$"&amp;MATCH($J138,SorP!$B$1:$B$6230,0))))</f>
        <v>BR-MG</v>
      </c>
      <c r="U138" s="238"/>
      <c r="V138" s="270">
        <f>IF(C138="",NA(),MATCH($B138&amp;$C138,'Smelter Look-up'!$J:$J,0))</f>
        <v>495</v>
      </c>
      <c r="W138" s="271"/>
      <c r="X138" s="271">
        <f t="shared" si="19"/>
        <v>0</v>
      </c>
      <c r="Y138" s="271"/>
      <c r="Z138" s="271"/>
      <c r="AB138" s="273" t="str">
        <f t="shared" si="20"/>
        <v>TinResind Industria e Comercio Ltda.</v>
      </c>
    </row>
    <row r="139" spans="1:28" s="272" customFormat="1" ht="82.5" customHeight="1">
      <c r="A139" s="363" t="s">
        <v>761</v>
      </c>
      <c r="B139" s="355" t="s">
        <v>1132</v>
      </c>
      <c r="C139" s="356" t="s">
        <v>13496</v>
      </c>
      <c r="D139" s="357"/>
      <c r="E139" s="355" t="s">
        <v>15646</v>
      </c>
      <c r="F139" s="355" t="s">
        <v>761</v>
      </c>
      <c r="G139" s="355" t="s">
        <v>13459</v>
      </c>
      <c r="H139" s="358" t="s">
        <v>16142</v>
      </c>
      <c r="I139" s="359" t="s">
        <v>1744</v>
      </c>
      <c r="J139" s="359" t="s">
        <v>13846</v>
      </c>
      <c r="K139" s="360" t="s">
        <v>16143</v>
      </c>
      <c r="L139" s="360" t="s">
        <v>16144</v>
      </c>
      <c r="M139" s="360"/>
      <c r="N139" s="360"/>
      <c r="O139" s="360" t="s">
        <v>16145</v>
      </c>
      <c r="P139" s="361"/>
      <c r="Q139" s="362"/>
      <c r="R139" s="215" t="str">
        <f ca="1">IF(ISERROR($V139),"",OFFSET('Smelter Look-up'!$C$4,$V139-4,0)&amp;"")</f>
        <v>Yanling Jincheng Tantalum &amp; Niobium Co., Ltd.</v>
      </c>
      <c r="S139" s="222" t="str">
        <f t="shared" ca="1" si="18"/>
        <v>CN</v>
      </c>
      <c r="T139" s="222" t="str">
        <f ca="1">IF(B139="","",IF(ISERROR(MATCH($J139,SorP!$B$1:$B$6230,0)),"",INDIRECT("'SorP'!$A$"&amp;MATCH($J139,SorP!$B$1:$B$6230,0))))</f>
        <v>CN-HN</v>
      </c>
      <c r="U139" s="238"/>
      <c r="V139" s="270">
        <f>IF(C139="",NA(),MATCH($B139&amp;$C139,'Smelter Look-up'!$J:$J,0))</f>
        <v>378</v>
      </c>
      <c r="W139" s="271"/>
      <c r="X139" s="271">
        <f t="shared" si="19"/>
        <v>0</v>
      </c>
      <c r="Y139" s="271"/>
      <c r="Z139" s="271"/>
      <c r="AB139" s="273" t="str">
        <f t="shared" si="20"/>
        <v>TantalumYanling Jincheng Tantalum &amp; Niobium Co., Ltd.</v>
      </c>
    </row>
    <row r="140" spans="1:28" s="272" customFormat="1" ht="71.25" customHeight="1">
      <c r="A140" s="363" t="s">
        <v>762</v>
      </c>
      <c r="B140" s="355" t="s">
        <v>1132</v>
      </c>
      <c r="C140" s="356" t="s">
        <v>1378</v>
      </c>
      <c r="D140" s="357"/>
      <c r="E140" s="355" t="s">
        <v>15697</v>
      </c>
      <c r="F140" s="355" t="s">
        <v>762</v>
      </c>
      <c r="G140" s="355" t="s">
        <v>13459</v>
      </c>
      <c r="H140" s="358" t="s">
        <v>16146</v>
      </c>
      <c r="I140" s="359" t="s">
        <v>1745</v>
      </c>
      <c r="J140" s="359" t="s">
        <v>10218</v>
      </c>
      <c r="K140" s="360" t="s">
        <v>16147</v>
      </c>
      <c r="L140" s="360" t="s">
        <v>16148</v>
      </c>
      <c r="M140" s="360"/>
      <c r="N140" s="360"/>
      <c r="O140" s="360" t="s">
        <v>16149</v>
      </c>
      <c r="P140" s="361"/>
      <c r="Q140" s="362"/>
      <c r="R140" s="215" t="str">
        <f ca="1">IF(ISERROR($V140),"",OFFSET('Smelter Look-up'!$C$4,$V140-4,0)&amp;"")</f>
        <v>Solikamsk Magnesium Works OAO</v>
      </c>
      <c r="S140" s="222" t="str">
        <f t="shared" ca="1" si="18"/>
        <v>RU</v>
      </c>
      <c r="T140" s="222" t="str">
        <f ca="1">IF(B140="","",IF(ISERROR(MATCH($J140,SorP!$B$1:$B$6230,0)),"",INDIRECT("'SorP'!$A$"&amp;MATCH($J140,SorP!$B$1:$B$6230,0))))</f>
        <v>RU-PER</v>
      </c>
      <c r="U140" s="238"/>
      <c r="V140" s="270">
        <f>IF(C140="",NA(),MATCH($B140&amp;$C140,'Smelter Look-up'!$J:$J,0))</f>
        <v>364</v>
      </c>
      <c r="W140" s="271"/>
      <c r="X140" s="271">
        <f t="shared" si="19"/>
        <v>0</v>
      </c>
      <c r="Y140" s="271"/>
      <c r="Z140" s="271"/>
      <c r="AB140" s="273" t="str">
        <f t="shared" si="20"/>
        <v>TantalumSolikamsk Magnesium Works OAO</v>
      </c>
    </row>
    <row r="141" spans="1:28" s="272" customFormat="1" ht="98.25" customHeight="1">
      <c r="A141" s="363" t="s">
        <v>749</v>
      </c>
      <c r="B141" s="355" t="s">
        <v>1132</v>
      </c>
      <c r="C141" s="356" t="s">
        <v>45</v>
      </c>
      <c r="D141" s="357"/>
      <c r="E141" s="355" t="s">
        <v>15646</v>
      </c>
      <c r="F141" s="355" t="s">
        <v>749</v>
      </c>
      <c r="G141" s="355" t="s">
        <v>13459</v>
      </c>
      <c r="H141" s="358" t="s">
        <v>16150</v>
      </c>
      <c r="I141" s="359" t="s">
        <v>1728</v>
      </c>
      <c r="J141" s="359" t="s">
        <v>13847</v>
      </c>
      <c r="K141" s="360" t="s">
        <v>16151</v>
      </c>
      <c r="L141" s="360" t="s">
        <v>16152</v>
      </c>
      <c r="M141" s="360"/>
      <c r="N141" s="360"/>
      <c r="O141" s="360" t="s">
        <v>16153</v>
      </c>
      <c r="P141" s="361"/>
      <c r="Q141" s="362"/>
      <c r="R141" s="215" t="str">
        <f ca="1">IF(ISERROR($V141),"",OFFSET('Smelter Look-up'!$C$4,$V141-4,0)&amp;"")</f>
        <v>F&amp;X Electro-Materials Ltd.</v>
      </c>
      <c r="S141" s="222" t="str">
        <f t="shared" ca="1" si="18"/>
        <v>CN</v>
      </c>
      <c r="T141" s="222" t="str">
        <f ca="1">IF(B141="","",IF(ISERROR(MATCH($J141,SorP!$B$1:$B$6230,0)),"",INDIRECT("'SorP'!$A$"&amp;MATCH($J141,SorP!$B$1:$B$6230,0))))</f>
        <v>CN-GD</v>
      </c>
      <c r="U141" s="238"/>
      <c r="V141" s="270">
        <f>IF(C141="",NA(),MATCH($B141&amp;$C141,'Smelter Look-up'!$J:$J,0))</f>
        <v>321</v>
      </c>
      <c r="W141" s="271"/>
      <c r="X141" s="271">
        <f t="shared" si="19"/>
        <v>0</v>
      </c>
      <c r="Y141" s="271"/>
      <c r="Z141" s="271"/>
      <c r="AB141" s="273" t="str">
        <f t="shared" si="20"/>
        <v>TantalumF&amp;X Electro-Materials Ltd.</v>
      </c>
    </row>
    <row r="142" spans="1:28" s="272" customFormat="1" ht="51">
      <c r="A142" s="363" t="s">
        <v>768</v>
      </c>
      <c r="B142" s="355" t="s">
        <v>1131</v>
      </c>
      <c r="C142" s="356" t="s">
        <v>12638</v>
      </c>
      <c r="D142" s="357"/>
      <c r="E142" s="355" t="s">
        <v>15626</v>
      </c>
      <c r="F142" s="355" t="s">
        <v>768</v>
      </c>
      <c r="G142" s="355" t="s">
        <v>13459</v>
      </c>
      <c r="H142" s="358" t="s">
        <v>16154</v>
      </c>
      <c r="I142" s="359" t="s">
        <v>1779</v>
      </c>
      <c r="J142" s="359" t="s">
        <v>1783</v>
      </c>
      <c r="K142" s="360" t="s">
        <v>16155</v>
      </c>
      <c r="L142" s="360" t="s">
        <v>16156</v>
      </c>
      <c r="M142" s="360"/>
      <c r="N142" s="360"/>
      <c r="O142" s="360" t="s">
        <v>15626</v>
      </c>
      <c r="P142" s="361"/>
      <c r="Q142" s="362"/>
      <c r="R142" s="215" t="str">
        <f ca="1">IF(ISERROR($V142),"",OFFSET('Smelter Look-up'!$C$4,$V142-4,0)&amp;"")</f>
        <v>Estanho de Rondonia S.A.</v>
      </c>
      <c r="S142" s="222" t="str">
        <f t="shared" ca="1" si="18"/>
        <v>BR</v>
      </c>
      <c r="T142" s="222" t="str">
        <f ca="1">IF(B142="","",IF(ISERROR(MATCH($J142,SorP!$B$1:$B$6230,0)),"",INDIRECT("'SorP'!$A$"&amp;MATCH($J142,SorP!$B$1:$B$6230,0))))</f>
        <v>BR-RO</v>
      </c>
      <c r="U142" s="238"/>
      <c r="V142" s="270">
        <f>IF(C142="",NA(),MATCH($B142&amp;$C142,'Smelter Look-up'!$J:$J,0))</f>
        <v>416</v>
      </c>
      <c r="W142" s="271"/>
      <c r="X142" s="271">
        <f t="shared" si="19"/>
        <v>0</v>
      </c>
      <c r="Y142" s="271"/>
      <c r="Z142" s="271"/>
      <c r="AB142" s="273" t="str">
        <f t="shared" si="20"/>
        <v>TinEstanho de Rondonia S.A.</v>
      </c>
    </row>
    <row r="143" spans="1:28" s="272" customFormat="1" ht="38.25">
      <c r="A143" s="363" t="s">
        <v>769</v>
      </c>
      <c r="B143" s="355" t="s">
        <v>1131</v>
      </c>
      <c r="C143" s="356" t="s">
        <v>815</v>
      </c>
      <c r="D143" s="357"/>
      <c r="E143" s="355" t="s">
        <v>15776</v>
      </c>
      <c r="F143" s="355" t="s">
        <v>769</v>
      </c>
      <c r="G143" s="355" t="s">
        <v>13459</v>
      </c>
      <c r="H143" s="358" t="s">
        <v>16157</v>
      </c>
      <c r="I143" s="359" t="s">
        <v>1785</v>
      </c>
      <c r="J143" s="359" t="s">
        <v>9711</v>
      </c>
      <c r="K143" s="360" t="s">
        <v>16158</v>
      </c>
      <c r="L143" s="360" t="s">
        <v>16159</v>
      </c>
      <c r="M143" s="360"/>
      <c r="N143" s="360"/>
      <c r="O143" s="360" t="s">
        <v>16160</v>
      </c>
      <c r="P143" s="361"/>
      <c r="Q143" s="362"/>
      <c r="R143" s="215" t="str">
        <f ca="1">IF(ISERROR($V143),"",OFFSET('Smelter Look-up'!$C$4,$V143-4,0)&amp;"")</f>
        <v>Fenix Metals</v>
      </c>
      <c r="S143" s="222" t="str">
        <f t="shared" ca="1" si="18"/>
        <v>PL</v>
      </c>
      <c r="T143" s="222" t="str">
        <f ca="1">IF(B143="","",IF(ISERROR(MATCH($J143,SorP!$B$1:$B$6230,0)),"",INDIRECT("'SorP'!$A$"&amp;MATCH($J143,SorP!$B$1:$B$6230,0))))</f>
        <v>PL-18</v>
      </c>
      <c r="U143" s="238"/>
      <c r="V143" s="270">
        <f>IF(C143="",NA(),MATCH($B143&amp;$C143,'Smelter Look-up'!$J:$J,0))</f>
        <v>421</v>
      </c>
      <c r="W143" s="271"/>
      <c r="X143" s="271">
        <f t="shared" si="19"/>
        <v>0</v>
      </c>
      <c r="Y143" s="271"/>
      <c r="Z143" s="271"/>
      <c r="AB143" s="273" t="str">
        <f t="shared" si="20"/>
        <v>TinFenix Metals</v>
      </c>
    </row>
    <row r="144" spans="1:28" s="272" customFormat="1" ht="89.25">
      <c r="A144" s="363" t="s">
        <v>679</v>
      </c>
      <c r="B144" s="355" t="s">
        <v>1130</v>
      </c>
      <c r="C144" s="356" t="s">
        <v>2532</v>
      </c>
      <c r="D144" s="357"/>
      <c r="E144" s="355" t="s">
        <v>15646</v>
      </c>
      <c r="F144" s="355" t="s">
        <v>679</v>
      </c>
      <c r="G144" s="355" t="s">
        <v>13459</v>
      </c>
      <c r="H144" s="358" t="s">
        <v>16161</v>
      </c>
      <c r="I144" s="359" t="s">
        <v>1595</v>
      </c>
      <c r="J144" s="359" t="s">
        <v>14067</v>
      </c>
      <c r="K144" s="360" t="s">
        <v>16162</v>
      </c>
      <c r="L144" s="360" t="s">
        <v>16163</v>
      </c>
      <c r="M144" s="360"/>
      <c r="N144" s="360"/>
      <c r="O144" s="360" t="s">
        <v>16164</v>
      </c>
      <c r="P144" s="361"/>
      <c r="Q144" s="362"/>
      <c r="R144" s="215" t="str">
        <f ca="1">IF(ISERROR($V144),"",OFFSET('Smelter Look-up'!$C$4,$V144-4,0)&amp;"")</f>
        <v>Heraeus Metals Hong Kong Ltd.</v>
      </c>
      <c r="S144" s="222" t="str">
        <f t="shared" ca="1" si="18"/>
        <v>CN</v>
      </c>
      <c r="T144" s="222" t="str">
        <f ca="1">IF(B144="","",IF(ISERROR(MATCH($J144,SorP!$B$1:$B$6230,0)),"",INDIRECT("'SorP'!$A$"&amp;MATCH($J144,SorP!$B$1:$B$6230,0))))</f>
        <v>CN-HK</v>
      </c>
      <c r="U144" s="238"/>
      <c r="V144" s="270">
        <f>IF(C144="",NA(),MATCH($B144&amp;$C144,'Smelter Look-up'!$J:$J,0))</f>
        <v>103</v>
      </c>
      <c r="W144" s="271"/>
      <c r="X144" s="271">
        <f t="shared" si="19"/>
        <v>0</v>
      </c>
      <c r="Y144" s="271"/>
      <c r="Z144" s="271"/>
      <c r="AB144" s="273" t="str">
        <f t="shared" si="20"/>
        <v>GoldHeraeus Metals Hong Kong Ltd.</v>
      </c>
    </row>
    <row r="145" spans="1:28" s="272" customFormat="1" ht="76.5">
      <c r="A145" s="363" t="s">
        <v>680</v>
      </c>
      <c r="B145" s="355" t="s">
        <v>1130</v>
      </c>
      <c r="C145" s="356" t="s">
        <v>1227</v>
      </c>
      <c r="D145" s="357"/>
      <c r="E145" s="355" t="s">
        <v>15781</v>
      </c>
      <c r="F145" s="355" t="s">
        <v>680</v>
      </c>
      <c r="G145" s="355" t="s">
        <v>13459</v>
      </c>
      <c r="H145" s="358" t="s">
        <v>16165</v>
      </c>
      <c r="I145" s="359" t="s">
        <v>1596</v>
      </c>
      <c r="J145" s="359" t="s">
        <v>4282</v>
      </c>
      <c r="K145" s="360" t="s">
        <v>16166</v>
      </c>
      <c r="L145" s="360" t="s">
        <v>16167</v>
      </c>
      <c r="M145" s="360"/>
      <c r="N145" s="360"/>
      <c r="O145" s="360" t="s">
        <v>16168</v>
      </c>
      <c r="P145" s="361"/>
      <c r="Q145" s="362"/>
      <c r="R145" s="215" t="str">
        <f ca="1">IF(ISERROR($V145),"",OFFSET('Smelter Look-up'!$C$4,$V145-4,0)&amp;"")</f>
        <v>Heraeus Germany GmbH Co. KG</v>
      </c>
      <c r="S145" s="222" t="str">
        <f t="shared" ref="S145:S175" ca="1" si="21">IF(B145="","",IF(ISERROR(MATCH($E145,CL,0)),"Unknown",INDIRECT("'C'!$A$"&amp;MATCH($E145,CL,0)+1)))</f>
        <v>DE</v>
      </c>
      <c r="T145" s="222" t="str">
        <f ca="1">IF(B145="","",IF(ISERROR(MATCH($J145,SorP!$B$1:$B$6230,0)),"",INDIRECT("'SorP'!$A$"&amp;MATCH($J145,SorP!$B$1:$B$6230,0))))</f>
        <v>DE-HE</v>
      </c>
      <c r="U145" s="238"/>
      <c r="V145" s="270">
        <f>IF(C145="",NA(),MATCH($B145&amp;$C145,'Smelter Look-up'!$J:$J,0))</f>
        <v>104</v>
      </c>
      <c r="W145" s="271"/>
      <c r="X145" s="271">
        <f t="shared" ref="X145:X175" si="22">IF(AND(C145="Smelter not listed",OR(LEN(D145)=0,LEN(E145)=0)),1,0)</f>
        <v>0</v>
      </c>
      <c r="Y145" s="271"/>
      <c r="Z145" s="271"/>
      <c r="AB145" s="273" t="str">
        <f t="shared" ref="AB145:AB175" si="23">B145&amp;C145</f>
        <v>GoldHeraeus Precious Metals GmbH &amp; Co. KG</v>
      </c>
    </row>
    <row r="146" spans="1:28" s="272" customFormat="1" ht="102">
      <c r="A146" s="363" t="s">
        <v>702</v>
      </c>
      <c r="B146" s="355" t="s">
        <v>1130</v>
      </c>
      <c r="C146" s="356" t="s">
        <v>1621</v>
      </c>
      <c r="D146" s="357"/>
      <c r="E146" s="355" t="s">
        <v>15646</v>
      </c>
      <c r="F146" s="355" t="s">
        <v>702</v>
      </c>
      <c r="G146" s="355" t="s">
        <v>13459</v>
      </c>
      <c r="H146" s="358" t="s">
        <v>16169</v>
      </c>
      <c r="I146" s="359" t="s">
        <v>1622</v>
      </c>
      <c r="J146" s="359" t="s">
        <v>13844</v>
      </c>
      <c r="K146" s="360" t="s">
        <v>16170</v>
      </c>
      <c r="L146" s="360" t="s">
        <v>16171</v>
      </c>
      <c r="M146" s="360"/>
      <c r="N146" s="360"/>
      <c r="O146" s="360" t="s">
        <v>16172</v>
      </c>
      <c r="P146" s="361"/>
      <c r="Q146" s="362"/>
      <c r="R146" s="215" t="str">
        <f ca="1">IF(ISERROR($V146),"",OFFSET('Smelter Look-up'!$C$4,$V146-4,0)&amp;"")</f>
        <v>Luoyang Zijin Yinhui Gold Refinery Co., Ltd.</v>
      </c>
      <c r="S146" s="222" t="str">
        <f t="shared" ca="1" si="21"/>
        <v>CN</v>
      </c>
      <c r="T146" s="222" t="str">
        <f ca="1">IF(B146="","",IF(ISERROR(MATCH($J146,SorP!$B$1:$B$6230,0)),"",INDIRECT("'SorP'!$A$"&amp;MATCH($J146,SorP!$B$1:$B$6230,0))))</f>
        <v>CN-HA</v>
      </c>
      <c r="U146" s="238"/>
      <c r="V146" s="270">
        <f>IF(C146="",NA(),MATCH($B146&amp;$C146,'Smelter Look-up'!$J:$J,0))</f>
        <v>155</v>
      </c>
      <c r="W146" s="271"/>
      <c r="X146" s="271">
        <f t="shared" si="22"/>
        <v>0</v>
      </c>
      <c r="Y146" s="271"/>
      <c r="Z146" s="271"/>
      <c r="AB146" s="273" t="str">
        <f t="shared" si="23"/>
        <v>GoldLuoyang Zijin Yinhui Gold Refinery Co., Ltd.</v>
      </c>
    </row>
    <row r="147" spans="1:28" s="272" customFormat="1" ht="76.5">
      <c r="A147" s="363" t="s">
        <v>1409</v>
      </c>
      <c r="B147" s="355" t="s">
        <v>1130</v>
      </c>
      <c r="C147" s="356" t="s">
        <v>1408</v>
      </c>
      <c r="D147" s="357"/>
      <c r="E147" s="355" t="s">
        <v>15751</v>
      </c>
      <c r="F147" s="355" t="s">
        <v>1409</v>
      </c>
      <c r="G147" s="355" t="s">
        <v>13459</v>
      </c>
      <c r="H147" s="358" t="s">
        <v>16173</v>
      </c>
      <c r="I147" s="359" t="s">
        <v>1578</v>
      </c>
      <c r="J147" s="359" t="s">
        <v>13080</v>
      </c>
      <c r="K147" s="360" t="s">
        <v>16174</v>
      </c>
      <c r="L147" s="360" t="s">
        <v>16175</v>
      </c>
      <c r="M147" s="360"/>
      <c r="N147" s="360"/>
      <c r="O147" s="360" t="s">
        <v>16176</v>
      </c>
      <c r="P147" s="361"/>
      <c r="Q147" s="362"/>
      <c r="R147" s="215" t="str">
        <f ca="1">IF(ISERROR($V147),"",OFFSET('Smelter Look-up'!$C$4,$V147-4,0)&amp;"")</f>
        <v>Samduck Precious Metals</v>
      </c>
      <c r="S147" s="222" t="str">
        <f t="shared" ca="1" si="21"/>
        <v>KR</v>
      </c>
      <c r="T147" s="222" t="str">
        <f ca="1">IF(B147="","",IF(ISERROR(MATCH($J147,SorP!$B$1:$B$6230,0)),"",INDIRECT("'SorP'!$A$"&amp;MATCH($J147,SorP!$B$1:$B$6230,0))))</f>
        <v>KR-28</v>
      </c>
      <c r="U147" s="238"/>
      <c r="V147" s="270">
        <f>IF(C147="",NA(),MATCH($B147&amp;$C147,'Smelter Look-up'!$J:$J,0))</f>
        <v>223</v>
      </c>
      <c r="W147" s="271"/>
      <c r="X147" s="271">
        <f t="shared" si="22"/>
        <v>0</v>
      </c>
      <c r="Y147" s="271"/>
      <c r="Z147" s="271"/>
      <c r="AB147" s="273" t="str">
        <f t="shared" si="23"/>
        <v>GoldSamduck Precious Metals</v>
      </c>
    </row>
    <row r="148" spans="1:28" s="272" customFormat="1" ht="51">
      <c r="A148" s="363" t="s">
        <v>726</v>
      </c>
      <c r="B148" s="355" t="s">
        <v>1130</v>
      </c>
      <c r="C148" s="356" t="s">
        <v>2474</v>
      </c>
      <c r="D148" s="357"/>
      <c r="E148" s="355" t="s">
        <v>15751</v>
      </c>
      <c r="F148" s="355" t="s">
        <v>726</v>
      </c>
      <c r="G148" s="355" t="s">
        <v>13459</v>
      </c>
      <c r="H148" s="358" t="s">
        <v>16177</v>
      </c>
      <c r="I148" s="359" t="s">
        <v>1658</v>
      </c>
      <c r="J148" s="359" t="s">
        <v>13087</v>
      </c>
      <c r="K148" s="360" t="s">
        <v>16178</v>
      </c>
      <c r="L148" s="360" t="s">
        <v>16179</v>
      </c>
      <c r="M148" s="360"/>
      <c r="N148" s="360"/>
      <c r="O148" s="360" t="s">
        <v>16180</v>
      </c>
      <c r="P148" s="361"/>
      <c r="Q148" s="362"/>
      <c r="R148" s="215" t="str">
        <f ca="1">IF(ISERROR($V148),"",OFFSET('Smelter Look-up'!$C$4,$V148-4,0)&amp;"")</f>
        <v>Samwon Metals Corp.</v>
      </c>
      <c r="S148" s="222" t="str">
        <f t="shared" ca="1" si="21"/>
        <v>KR</v>
      </c>
      <c r="T148" s="222" t="str">
        <f ca="1">IF(B148="","",IF(ISERROR(MATCH($J148,SorP!$B$1:$B$6230,0)),"",INDIRECT("'SorP'!$A$"&amp;MATCH($J148,SorP!$B$1:$B$6230,0))))</f>
        <v>KR-48</v>
      </c>
      <c r="U148" s="238"/>
      <c r="V148" s="270">
        <f>IF(C148="",NA(),MATCH($B148&amp;$C148,'Smelter Look-up'!$J:$J,0))</f>
        <v>224</v>
      </c>
      <c r="W148" s="271"/>
      <c r="X148" s="271">
        <f t="shared" si="22"/>
        <v>0</v>
      </c>
      <c r="Y148" s="271"/>
      <c r="Z148" s="271"/>
      <c r="AB148" s="273" t="str">
        <f t="shared" si="23"/>
        <v>GoldSamwon Metals Corp.</v>
      </c>
    </row>
    <row r="149" spans="1:28" s="272" customFormat="1" ht="69.75" customHeight="1">
      <c r="A149" s="363" t="s">
        <v>2153</v>
      </c>
      <c r="B149" s="355" t="s">
        <v>1131</v>
      </c>
      <c r="C149" s="356" t="s">
        <v>2152</v>
      </c>
      <c r="D149" s="357"/>
      <c r="E149" s="355" t="s">
        <v>15836</v>
      </c>
      <c r="F149" s="355" t="s">
        <v>2153</v>
      </c>
      <c r="G149" s="355" t="s">
        <v>13459</v>
      </c>
      <c r="H149" s="358" t="s">
        <v>16181</v>
      </c>
      <c r="I149" s="359" t="s">
        <v>1825</v>
      </c>
      <c r="J149" s="359" t="s">
        <v>12338</v>
      </c>
      <c r="K149" s="360" t="s">
        <v>16182</v>
      </c>
      <c r="L149" s="360" t="s">
        <v>16183</v>
      </c>
      <c r="M149" s="360"/>
      <c r="N149" s="360"/>
      <c r="O149" s="360" t="s">
        <v>16184</v>
      </c>
      <c r="P149" s="361"/>
      <c r="Q149" s="362"/>
      <c r="R149" s="215" t="str">
        <f ca="1">IF(ISERROR($V149),"",OFFSET('Smelter Look-up'!$C$4,$V149-4,0)&amp;"")</f>
        <v>An Vinh Joint Stock Mineral Processing Company</v>
      </c>
      <c r="S149" s="222" t="str">
        <f t="shared" ca="1" si="21"/>
        <v>VN</v>
      </c>
      <c r="T149" s="222" t="str">
        <f ca="1">IF(B149="","",IF(ISERROR(MATCH($J149,SorP!$B$1:$B$6230,0)),"",INDIRECT("'SorP'!$A$"&amp;MATCH($J149,SorP!$B$1:$B$6230,0))))</f>
        <v>VN-22</v>
      </c>
      <c r="U149" s="238"/>
      <c r="V149" s="270">
        <f>IF(C149="",NA(),MATCH($B149&amp;$C149,'Smelter Look-up'!$J:$J,0))</f>
        <v>388</v>
      </c>
      <c r="W149" s="271"/>
      <c r="X149" s="271">
        <f t="shared" si="22"/>
        <v>0</v>
      </c>
      <c r="Y149" s="271"/>
      <c r="Z149" s="271"/>
      <c r="AB149" s="273" t="str">
        <f t="shared" si="23"/>
        <v>TinAn Vinh Joint Stock Mineral Processing Company</v>
      </c>
    </row>
    <row r="150" spans="1:28" s="272" customFormat="1" ht="76.5">
      <c r="A150" s="363" t="s">
        <v>1770</v>
      </c>
      <c r="B150" s="355" t="s">
        <v>1132</v>
      </c>
      <c r="C150" s="356" t="s">
        <v>12646</v>
      </c>
      <c r="D150" s="357"/>
      <c r="E150" s="355" t="s">
        <v>15626</v>
      </c>
      <c r="F150" s="355" t="s">
        <v>1770</v>
      </c>
      <c r="G150" s="355" t="s">
        <v>13459</v>
      </c>
      <c r="H150" s="358" t="s">
        <v>16138</v>
      </c>
      <c r="I150" s="359" t="s">
        <v>1732</v>
      </c>
      <c r="J150" s="359" t="s">
        <v>1771</v>
      </c>
      <c r="K150" s="360" t="s">
        <v>16139</v>
      </c>
      <c r="L150" s="360" t="s">
        <v>16140</v>
      </c>
      <c r="M150" s="360"/>
      <c r="N150" s="360"/>
      <c r="O150" s="360" t="s">
        <v>15712</v>
      </c>
      <c r="P150" s="361"/>
      <c r="Q150" s="362"/>
      <c r="R150" s="215" t="str">
        <f ca="1">IF(ISERROR($V150),"",OFFSET('Smelter Look-up'!$C$4,$V150-4,0)&amp;"")</f>
        <v>Resind Industria e Comercio Ltda.</v>
      </c>
      <c r="S150" s="222" t="str">
        <f t="shared" ca="1" si="21"/>
        <v>BR</v>
      </c>
      <c r="T150" s="222" t="str">
        <f ca="1">IF(B150="","",IF(ISERROR(MATCH($J150,SorP!$B$1:$B$6230,0)),"",INDIRECT("'SorP'!$A$"&amp;MATCH($J150,SorP!$B$1:$B$6230,0))))</f>
        <v>BR-MG</v>
      </c>
      <c r="U150" s="238"/>
      <c r="V150" s="270">
        <f>IF(C150="",NA(),MATCH($B150&amp;$C150,'Smelter Look-up'!$J:$J,0))</f>
        <v>359</v>
      </c>
      <c r="W150" s="271"/>
      <c r="X150" s="271">
        <f t="shared" si="22"/>
        <v>0</v>
      </c>
      <c r="Y150" s="271"/>
      <c r="Z150" s="271"/>
      <c r="AB150" s="273" t="str">
        <f t="shared" si="23"/>
        <v>TantalumResind Industria e Comercio Ltda.</v>
      </c>
    </row>
    <row r="151" spans="1:28" s="272" customFormat="1" ht="127.5">
      <c r="A151" s="363" t="s">
        <v>659</v>
      </c>
      <c r="B151" s="355" t="s">
        <v>1130</v>
      </c>
      <c r="C151" s="356" t="s">
        <v>904</v>
      </c>
      <c r="D151" s="357"/>
      <c r="E151" s="355" t="s">
        <v>15953</v>
      </c>
      <c r="F151" s="355" t="s">
        <v>659</v>
      </c>
      <c r="G151" s="355" t="s">
        <v>13459</v>
      </c>
      <c r="H151" s="358" t="s">
        <v>16185</v>
      </c>
      <c r="I151" s="359" t="s">
        <v>2218</v>
      </c>
      <c r="J151" s="359" t="s">
        <v>9655</v>
      </c>
      <c r="K151" s="360" t="s">
        <v>16186</v>
      </c>
      <c r="L151" s="360" t="s">
        <v>16187</v>
      </c>
      <c r="M151" s="360"/>
      <c r="N151" s="360"/>
      <c r="O151" s="360" t="s">
        <v>16188</v>
      </c>
      <c r="P151" s="361"/>
      <c r="Q151" s="362"/>
      <c r="R151" s="215" t="str">
        <f ca="1">IF(ISERROR($V151),"",OFFSET('Smelter Look-up'!$C$4,$V151-4,0)&amp;"")</f>
        <v>Bangko Sentral ng Pilipinas (Central Bank of the Philippines)</v>
      </c>
      <c r="S151" s="222" t="str">
        <f t="shared" ca="1" si="21"/>
        <v>PH</v>
      </c>
      <c r="T151" s="222" t="str">
        <f ca="1">IF(B151="","",IF(ISERROR(MATCH($J151,SorP!$B$1:$B$6230,0)),"",INDIRECT("'SorP'!$A$"&amp;MATCH($J151,SorP!$B$1:$B$6230,0))))</f>
        <v>PH-RIZ</v>
      </c>
      <c r="U151" s="238"/>
      <c r="V151" s="270">
        <f>IF(C151="",NA(),MATCH($B151&amp;$C151,'Smelter Look-up'!$J:$J,0))</f>
        <v>38</v>
      </c>
      <c r="W151" s="271"/>
      <c r="X151" s="271">
        <f t="shared" si="22"/>
        <v>0</v>
      </c>
      <c r="Y151" s="271"/>
      <c r="Z151" s="271"/>
      <c r="AB151" s="273" t="str">
        <f t="shared" si="23"/>
        <v>GoldBangko Sentral ng Pilipinas (Central Bank of the Philippines)</v>
      </c>
    </row>
    <row r="152" spans="1:28" s="272" customFormat="1" ht="51">
      <c r="A152" s="363" t="s">
        <v>682</v>
      </c>
      <c r="B152" s="355" t="s">
        <v>1130</v>
      </c>
      <c r="C152" s="356" t="s">
        <v>2533</v>
      </c>
      <c r="D152" s="357"/>
      <c r="E152" s="355" t="s">
        <v>15751</v>
      </c>
      <c r="F152" s="355" t="s">
        <v>682</v>
      </c>
      <c r="G152" s="355" t="s">
        <v>13459</v>
      </c>
      <c r="H152" s="358" t="s">
        <v>16189</v>
      </c>
      <c r="I152" s="359" t="s">
        <v>1599</v>
      </c>
      <c r="J152" s="359" t="s">
        <v>13085</v>
      </c>
      <c r="K152" s="360" t="s">
        <v>16190</v>
      </c>
      <c r="L152" s="360" t="s">
        <v>16191</v>
      </c>
      <c r="M152" s="360"/>
      <c r="N152" s="360"/>
      <c r="O152" s="360" t="s">
        <v>16192</v>
      </c>
      <c r="P152" s="361"/>
      <c r="Q152" s="362"/>
      <c r="R152" s="215" t="str">
        <f ca="1">IF(ISERROR($V152),"",OFFSET('Smelter Look-up'!$C$4,$V152-4,0)&amp;"")</f>
        <v>HwaSeong CJ CO., LTD.</v>
      </c>
      <c r="S152" s="222" t="str">
        <f t="shared" ca="1" si="21"/>
        <v>KR</v>
      </c>
      <c r="T152" s="222" t="str">
        <f ca="1">IF(B152="","",IF(ISERROR(MATCH($J152,SorP!$B$1:$B$6230,0)),"",INDIRECT("'SorP'!$A$"&amp;MATCH($J152,SorP!$B$1:$B$6230,0))))</f>
        <v>KR-41</v>
      </c>
      <c r="U152" s="238"/>
      <c r="V152" s="270">
        <f>IF(C152="",NA(),MATCH($B152&amp;$C152,'Smelter Look-up'!$J:$J,0))</f>
        <v>110</v>
      </c>
      <c r="W152" s="271"/>
      <c r="X152" s="271">
        <f t="shared" si="22"/>
        <v>0</v>
      </c>
      <c r="Y152" s="271"/>
      <c r="Z152" s="271"/>
      <c r="AB152" s="273" t="str">
        <f t="shared" si="23"/>
        <v>GoldHwaSeong CJ CO., LTD.</v>
      </c>
    </row>
    <row r="153" spans="1:28" s="272" customFormat="1" ht="89.25">
      <c r="A153" s="363" t="s">
        <v>715</v>
      </c>
      <c r="B153" s="355" t="s">
        <v>1130</v>
      </c>
      <c r="C153" s="356" t="s">
        <v>2170</v>
      </c>
      <c r="D153" s="357"/>
      <c r="E153" s="355" t="s">
        <v>15641</v>
      </c>
      <c r="F153" s="355" t="s">
        <v>715</v>
      </c>
      <c r="G153" s="355" t="s">
        <v>13459</v>
      </c>
      <c r="H153" s="358" t="s">
        <v>16193</v>
      </c>
      <c r="I153" s="359" t="s">
        <v>1640</v>
      </c>
      <c r="J153" s="359" t="s">
        <v>1641</v>
      </c>
      <c r="K153" s="360" t="s">
        <v>16194</v>
      </c>
      <c r="L153" s="360" t="s">
        <v>16195</v>
      </c>
      <c r="M153" s="360"/>
      <c r="N153" s="360"/>
      <c r="O153" s="360" t="s">
        <v>16196</v>
      </c>
      <c r="P153" s="361"/>
      <c r="Q153" s="362"/>
      <c r="R153" s="215" t="str">
        <f ca="1">IF(ISERROR($V153),"",OFFSET('Smelter Look-up'!$C$4,$V153-4,0)&amp;"")</f>
        <v>Nihon Material Co., Ltd.</v>
      </c>
      <c r="S153" s="222" t="str">
        <f t="shared" ca="1" si="21"/>
        <v>JP</v>
      </c>
      <c r="T153" s="222" t="str">
        <f ca="1">IF(B153="","",IF(ISERROR(MATCH($J153,SorP!$B$1:$B$6230,0)),"",INDIRECT("'SorP'!$A$"&amp;MATCH($J153,SorP!$B$1:$B$6230,0))))</f>
        <v>JP-12</v>
      </c>
      <c r="U153" s="238"/>
      <c r="V153" s="270">
        <f>IF(C153="",NA(),MATCH($B153&amp;$C153,'Smelter Look-up'!$J:$J,0))</f>
        <v>188</v>
      </c>
      <c r="W153" s="271"/>
      <c r="X153" s="271">
        <f t="shared" si="22"/>
        <v>0</v>
      </c>
      <c r="Y153" s="271"/>
      <c r="Z153" s="271"/>
      <c r="AB153" s="273" t="str">
        <f t="shared" si="23"/>
        <v>GoldNihon Material Co., Ltd.</v>
      </c>
    </row>
    <row r="154" spans="1:28" s="272" customFormat="1" ht="63.75">
      <c r="A154" s="363" t="s">
        <v>803</v>
      </c>
      <c r="B154" s="355" t="s">
        <v>1133</v>
      </c>
      <c r="C154" s="356" t="s">
        <v>1383</v>
      </c>
      <c r="D154" s="357"/>
      <c r="E154" s="355" t="s">
        <v>15646</v>
      </c>
      <c r="F154" s="355" t="s">
        <v>803</v>
      </c>
      <c r="G154" s="355" t="s">
        <v>13459</v>
      </c>
      <c r="H154" s="358" t="s">
        <v>16197</v>
      </c>
      <c r="I154" s="359" t="s">
        <v>1848</v>
      </c>
      <c r="J154" s="359" t="s">
        <v>13841</v>
      </c>
      <c r="K154" s="360" t="s">
        <v>16198</v>
      </c>
      <c r="L154" s="360" t="s">
        <v>16199</v>
      </c>
      <c r="M154" s="360"/>
      <c r="N154" s="360"/>
      <c r="O154" s="360" t="s">
        <v>16200</v>
      </c>
      <c r="P154" s="361"/>
      <c r="Q154" s="362"/>
      <c r="R154" s="215" t="str">
        <f ca="1">IF(ISERROR($V154),"",OFFSET('Smelter Look-up'!$C$4,$V154-4,0)&amp;"")</f>
        <v>Xiamen Tungsten Co., Ltd.</v>
      </c>
      <c r="S154" s="222" t="str">
        <f t="shared" ca="1" si="21"/>
        <v>CN</v>
      </c>
      <c r="T154" s="222" t="str">
        <f ca="1">IF(B154="","",IF(ISERROR(MATCH($J154,SorP!$B$1:$B$6230,0)),"",INDIRECT("'SorP'!$A$"&amp;MATCH($J154,SorP!$B$1:$B$6230,0))))</f>
        <v>CN-FJ</v>
      </c>
      <c r="U154" s="238"/>
      <c r="V154" s="270">
        <f>IF(C154="",NA(),MATCH($B154&amp;$C154,'Smelter Look-up'!$J:$J,0))</f>
        <v>605</v>
      </c>
      <c r="W154" s="271"/>
      <c r="X154" s="271">
        <f t="shared" si="22"/>
        <v>0</v>
      </c>
      <c r="Y154" s="271"/>
      <c r="Z154" s="271"/>
      <c r="AB154" s="273" t="str">
        <f t="shared" si="23"/>
        <v>TungstenXiamen Tungsten Co., Ltd.</v>
      </c>
    </row>
    <row r="155" spans="1:28" s="272" customFormat="1" ht="102">
      <c r="A155" s="363" t="s">
        <v>14024</v>
      </c>
      <c r="B155" s="355" t="s">
        <v>1131</v>
      </c>
      <c r="C155" s="356" t="s">
        <v>14092</v>
      </c>
      <c r="D155" s="357"/>
      <c r="E155" s="355" t="s">
        <v>15646</v>
      </c>
      <c r="F155" s="355" t="s">
        <v>14024</v>
      </c>
      <c r="G155" s="355" t="s">
        <v>13459</v>
      </c>
      <c r="H155" s="358" t="s">
        <v>16201</v>
      </c>
      <c r="I155" s="359" t="s">
        <v>2477</v>
      </c>
      <c r="J155" s="359" t="s">
        <v>13851</v>
      </c>
      <c r="K155" s="360" t="s">
        <v>16202</v>
      </c>
      <c r="L155" s="360" t="s">
        <v>16203</v>
      </c>
      <c r="M155" s="360"/>
      <c r="N155" s="360"/>
      <c r="O155" s="360" t="s">
        <v>15712</v>
      </c>
      <c r="P155" s="361"/>
      <c r="Q155" s="362"/>
      <c r="R155" s="215" t="str">
        <f ca="1">IF(ISERROR($V155),"",OFFSET('Smelter Look-up'!$C$4,$V155-4,0)&amp;"")</f>
        <v>Gejiu City Fuxiang Industry and Trade Co., Ltd.</v>
      </c>
      <c r="S155" s="222" t="str">
        <f t="shared" ca="1" si="21"/>
        <v>CN</v>
      </c>
      <c r="T155" s="222" t="str">
        <f ca="1">IF(B155="","",IF(ISERROR(MATCH($J155,SorP!$B$1:$B$6230,0)),"",INDIRECT("'SorP'!$A$"&amp;MATCH($J155,SorP!$B$1:$B$6230,0))))</f>
        <v>CN-YN</v>
      </c>
      <c r="U155" s="238"/>
      <c r="V155" s="270">
        <f>IF(C155="",NA(),MATCH($B155&amp;$C155,'Smelter Look-up'!$J:$J,0))</f>
        <v>424</v>
      </c>
      <c r="W155" s="271"/>
      <c r="X155" s="271">
        <f t="shared" si="22"/>
        <v>0</v>
      </c>
      <c r="Y155" s="271"/>
      <c r="Z155" s="271"/>
      <c r="AB155" s="273" t="str">
        <f t="shared" si="23"/>
        <v>TinGejiu City Fuxiang Industry and Trade Co., Ltd.</v>
      </c>
    </row>
    <row r="156" spans="1:28" s="272" customFormat="1" ht="63.75">
      <c r="A156" s="363" t="s">
        <v>14114</v>
      </c>
      <c r="B156" s="355" t="s">
        <v>1133</v>
      </c>
      <c r="C156" s="356" t="s">
        <v>14099</v>
      </c>
      <c r="D156" s="357"/>
      <c r="E156" s="355" t="s">
        <v>15697</v>
      </c>
      <c r="F156" s="355" t="s">
        <v>14114</v>
      </c>
      <c r="G156" s="355" t="s">
        <v>13459</v>
      </c>
      <c r="H156" s="358"/>
      <c r="I156" s="359" t="s">
        <v>14123</v>
      </c>
      <c r="J156" s="359" t="s">
        <v>14124</v>
      </c>
      <c r="K156" s="360" t="s">
        <v>16204</v>
      </c>
      <c r="L156" s="360" t="s">
        <v>16205</v>
      </c>
      <c r="M156" s="360"/>
      <c r="N156" s="360"/>
      <c r="O156" s="360" t="s">
        <v>15712</v>
      </c>
      <c r="P156" s="361"/>
      <c r="Q156" s="362"/>
      <c r="R156" s="215" t="str">
        <f ca="1">IF(ISERROR($V156),"",OFFSET('Smelter Look-up'!$C$4,$V156-4,0)&amp;"")</f>
        <v>NPP Tyazhmetprom LLC</v>
      </c>
      <c r="S156" s="222" t="str">
        <f t="shared" ca="1" si="21"/>
        <v>RU</v>
      </c>
      <c r="T156" s="222" t="str">
        <f ca="1">IF(B156="","",IF(ISERROR(MATCH($J156,SorP!$B$1:$B$6230,0)),"",INDIRECT("'SorP'!$A$"&amp;MATCH($J156,SorP!$B$1:$B$6230,0))))</f>
        <v>RU-CHE</v>
      </c>
      <c r="U156" s="238"/>
      <c r="V156" s="270">
        <f>IF(C156="",NA(),MATCH($B156&amp;$C156,'Smelter Look-up'!$J:$J,0))</f>
        <v>591</v>
      </c>
      <c r="W156" s="271"/>
      <c r="X156" s="271">
        <f t="shared" si="22"/>
        <v>0</v>
      </c>
      <c r="Y156" s="271"/>
      <c r="Z156" s="271"/>
      <c r="AB156" s="273" t="str">
        <f t="shared" si="23"/>
        <v>TungstenNPP Tyazhmetprom LLC</v>
      </c>
    </row>
    <row r="157" spans="1:28" s="272" customFormat="1" ht="63.75">
      <c r="A157" s="363" t="s">
        <v>14113</v>
      </c>
      <c r="B157" s="355" t="s">
        <v>1133</v>
      </c>
      <c r="C157" s="356" t="s">
        <v>14098</v>
      </c>
      <c r="D157" s="357"/>
      <c r="E157" s="355" t="s">
        <v>15646</v>
      </c>
      <c r="F157" s="355" t="s">
        <v>14113</v>
      </c>
      <c r="G157" s="355" t="s">
        <v>13459</v>
      </c>
      <c r="H157" s="358" t="s">
        <v>16206</v>
      </c>
      <c r="I157" s="359" t="s">
        <v>15430</v>
      </c>
      <c r="J157" s="359" t="s">
        <v>13847</v>
      </c>
      <c r="K157" s="360" t="s">
        <v>16207</v>
      </c>
      <c r="L157" s="360" t="s">
        <v>16208</v>
      </c>
      <c r="M157" s="360"/>
      <c r="N157" s="360"/>
      <c r="O157" s="360" t="s">
        <v>15712</v>
      </c>
      <c r="P157" s="361"/>
      <c r="Q157" s="362"/>
      <c r="R157" s="215" t="str">
        <f ca="1">IF(ISERROR($V157),"",OFFSET('Smelter Look-up'!$C$4,$V157-4,0)&amp;"")</f>
        <v>GEM Co., Ltd.</v>
      </c>
      <c r="S157" s="222" t="str">
        <f t="shared" ca="1" si="21"/>
        <v>CN</v>
      </c>
      <c r="T157" s="222" t="str">
        <f ca="1">IF(B157="","",IF(ISERROR(MATCH($J157,SorP!$B$1:$B$6230,0)),"",INDIRECT("'SorP'!$A$"&amp;MATCH($J157,SorP!$B$1:$B$6230,0))))</f>
        <v>CN-GD</v>
      </c>
      <c r="U157" s="238"/>
      <c r="V157" s="270">
        <f>IF(C157="",NA(),MATCH($B157&amp;$C157,'Smelter Look-up'!$J:$J,0))</f>
        <v>559</v>
      </c>
      <c r="W157" s="271"/>
      <c r="X157" s="271">
        <f t="shared" si="22"/>
        <v>0</v>
      </c>
      <c r="Y157" s="271"/>
      <c r="Z157" s="271"/>
      <c r="AB157" s="273" t="str">
        <f t="shared" si="23"/>
        <v>TungstenGEM Co., Ltd.</v>
      </c>
    </row>
    <row r="158" spans="1:28" s="272" customFormat="1" ht="38.25">
      <c r="A158" s="363" t="s">
        <v>16209</v>
      </c>
      <c r="B158" s="355" t="s">
        <v>1131</v>
      </c>
      <c r="C158" s="356" t="s">
        <v>942</v>
      </c>
      <c r="D158" s="357" t="s">
        <v>16210</v>
      </c>
      <c r="E158" s="355" t="s">
        <v>15669</v>
      </c>
      <c r="F158" s="355" t="s">
        <v>16209</v>
      </c>
      <c r="G158" s="355" t="s">
        <v>13459</v>
      </c>
      <c r="H158" s="358" t="s">
        <v>16211</v>
      </c>
      <c r="I158" s="359">
        <v>0</v>
      </c>
      <c r="J158" s="359">
        <v>0</v>
      </c>
      <c r="K158" s="360" t="s">
        <v>16212</v>
      </c>
      <c r="L158" s="360" t="s">
        <v>16213</v>
      </c>
      <c r="M158" s="360"/>
      <c r="N158" s="360"/>
      <c r="O158" s="360" t="s">
        <v>16214</v>
      </c>
      <c r="P158" s="361"/>
      <c r="Q158" s="362"/>
      <c r="R158" s="215" t="str">
        <f ca="1">IF(ISERROR($V158),"",OFFSET('Smelter Look-up'!$C$4,$V158-4,0)&amp;"")</f>
        <v/>
      </c>
      <c r="S158" s="222" t="str">
        <f t="shared" ca="1" si="21"/>
        <v>ID</v>
      </c>
      <c r="T158" s="222" t="str">
        <f ca="1">IF(B158="","",IF(ISERROR(MATCH($J158,SorP!$B$1:$B$6230,0)),"",INDIRECT("'SorP'!$A$"&amp;MATCH($J158,SorP!$B$1:$B$6230,0))))</f>
        <v/>
      </c>
      <c r="U158" s="238"/>
      <c r="V158" s="270">
        <f>IF(C158="",NA(),MATCH($B158&amp;$C158,'Smelter Look-up'!$J:$J,0))</f>
        <v>531</v>
      </c>
      <c r="W158" s="271"/>
      <c r="X158" s="271">
        <f t="shared" si="22"/>
        <v>0</v>
      </c>
      <c r="Y158" s="271"/>
      <c r="Z158" s="271"/>
      <c r="AB158" s="273" t="str">
        <f t="shared" si="23"/>
        <v>TinSmelter Not Listed</v>
      </c>
    </row>
    <row r="159" spans="1:28" s="272" customFormat="1" ht="79.5" customHeight="1">
      <c r="A159" s="363" t="s">
        <v>795</v>
      </c>
      <c r="B159" s="355" t="s">
        <v>1133</v>
      </c>
      <c r="C159" s="356" t="s">
        <v>1379</v>
      </c>
      <c r="D159" s="357"/>
      <c r="E159" s="355" t="s">
        <v>15646</v>
      </c>
      <c r="F159" s="355" t="s">
        <v>795</v>
      </c>
      <c r="G159" s="355" t="s">
        <v>13459</v>
      </c>
      <c r="H159" s="358" t="s">
        <v>16215</v>
      </c>
      <c r="I159" s="359" t="s">
        <v>1787</v>
      </c>
      <c r="J159" s="359" t="s">
        <v>13842</v>
      </c>
      <c r="K159" s="360" t="s">
        <v>16216</v>
      </c>
      <c r="L159" s="360" t="s">
        <v>16217</v>
      </c>
      <c r="M159" s="360"/>
      <c r="N159" s="360"/>
      <c r="O159" s="360" t="s">
        <v>15646</v>
      </c>
      <c r="P159" s="361"/>
      <c r="Q159" s="362"/>
      <c r="R159" s="215" t="str">
        <f ca="1">IF(ISERROR($V159),"",OFFSET('Smelter Look-up'!$C$4,$V159-4,0)&amp;"")</f>
        <v>Chongyi Zhangyuan Tungsten Co., Ltd.</v>
      </c>
      <c r="S159" s="222" t="str">
        <f t="shared" ca="1" si="21"/>
        <v>CN</v>
      </c>
      <c r="T159" s="222" t="str">
        <f ca="1">IF(B159="","",IF(ISERROR(MATCH($J159,SorP!$B$1:$B$6230,0)),"",INDIRECT("'SorP'!$A$"&amp;MATCH($J159,SorP!$B$1:$B$6230,0))))</f>
        <v>CN-JX</v>
      </c>
      <c r="U159" s="238"/>
      <c r="V159" s="270">
        <f>IF(C159="",NA(),MATCH($B159&amp;$C159,'Smelter Look-up'!$J:$J,0))</f>
        <v>550</v>
      </c>
      <c r="W159" s="271"/>
      <c r="X159" s="271">
        <f t="shared" si="22"/>
        <v>0</v>
      </c>
      <c r="Y159" s="271"/>
      <c r="Z159" s="271"/>
      <c r="AB159" s="273" t="str">
        <f t="shared" si="23"/>
        <v>TungstenChongyi Zhangyuan Tungsten Co., Ltd.</v>
      </c>
    </row>
    <row r="160" spans="1:28" s="272" customFormat="1" ht="74.25" customHeight="1">
      <c r="A160" s="363" t="s">
        <v>764</v>
      </c>
      <c r="B160" s="355" t="s">
        <v>1132</v>
      </c>
      <c r="C160" s="356" t="s">
        <v>1747</v>
      </c>
      <c r="D160" s="357"/>
      <c r="E160" s="355" t="s">
        <v>15631</v>
      </c>
      <c r="F160" s="355" t="s">
        <v>764</v>
      </c>
      <c r="G160" s="355" t="s">
        <v>13459</v>
      </c>
      <c r="H160" s="358" t="s">
        <v>16218</v>
      </c>
      <c r="I160" s="359" t="s">
        <v>1748</v>
      </c>
      <c r="J160" s="359" t="s">
        <v>1749</v>
      </c>
      <c r="K160" s="360" t="s">
        <v>16219</v>
      </c>
      <c r="L160" s="360" t="s">
        <v>16220</v>
      </c>
      <c r="M160" s="360"/>
      <c r="N160" s="360"/>
      <c r="O160" s="360" t="s">
        <v>16221</v>
      </c>
      <c r="P160" s="361"/>
      <c r="Q160" s="362"/>
      <c r="R160" s="215" t="str">
        <f ca="1">IF(ISERROR($V160),"",OFFSET('Smelter Look-up'!$C$4,$V160-4,0)&amp;"")</f>
        <v>Telex Metals</v>
      </c>
      <c r="S160" s="222" t="str">
        <f t="shared" ca="1" si="21"/>
        <v>US</v>
      </c>
      <c r="T160" s="222" t="str">
        <f ca="1">IF(B160="","",IF(ISERROR(MATCH($J160,SorP!$B$1:$B$6230,0)),"",INDIRECT("'SorP'!$A$"&amp;MATCH($J160,SorP!$B$1:$B$6230,0))))</f>
        <v>US-PA</v>
      </c>
      <c r="U160" s="238"/>
      <c r="V160" s="270">
        <f>IF(C160="",NA(),MATCH($B160&amp;$C160,'Smelter Look-up'!$J:$J,0))</f>
        <v>372</v>
      </c>
      <c r="W160" s="271"/>
      <c r="X160" s="271">
        <f t="shared" si="22"/>
        <v>0</v>
      </c>
      <c r="Y160" s="271"/>
      <c r="Z160" s="271"/>
      <c r="AB160" s="273" t="str">
        <f t="shared" si="23"/>
        <v>TantalumTelex Metals</v>
      </c>
    </row>
    <row r="161" spans="1:28" s="272" customFormat="1" ht="78.75" customHeight="1">
      <c r="A161" s="363" t="s">
        <v>788</v>
      </c>
      <c r="B161" s="355" t="s">
        <v>1131</v>
      </c>
      <c r="C161" s="356" t="s">
        <v>1031</v>
      </c>
      <c r="D161" s="357"/>
      <c r="E161" s="355" t="s">
        <v>15841</v>
      </c>
      <c r="F161" s="355" t="s">
        <v>788</v>
      </c>
      <c r="G161" s="355" t="s">
        <v>13459</v>
      </c>
      <c r="H161" s="358" t="s">
        <v>16222</v>
      </c>
      <c r="I161" s="359" t="s">
        <v>1810</v>
      </c>
      <c r="J161" s="359" t="s">
        <v>1811</v>
      </c>
      <c r="K161" s="360" t="s">
        <v>16223</v>
      </c>
      <c r="L161" s="360" t="s">
        <v>16224</v>
      </c>
      <c r="M161" s="360"/>
      <c r="N161" s="360"/>
      <c r="O161" s="360" t="s">
        <v>16225</v>
      </c>
      <c r="P161" s="361"/>
      <c r="Q161" s="362"/>
      <c r="R161" s="215" t="str">
        <f ca="1">IF(ISERROR($V161),"",OFFSET('Smelter Look-up'!$C$4,$V161-4,0)&amp;"")</f>
        <v>Thaisarco</v>
      </c>
      <c r="S161" s="222" t="str">
        <f t="shared" ca="1" si="21"/>
        <v>TH</v>
      </c>
      <c r="T161" s="222" t="str">
        <f ca="1">IF(B161="","",IF(ISERROR(MATCH($J161,SorP!$B$1:$B$6230,0)),"",INDIRECT("'SorP'!$A$"&amp;MATCH($J161,SorP!$B$1:$B$6230,0))))</f>
        <v>TH-83</v>
      </c>
      <c r="U161" s="238"/>
      <c r="V161" s="270">
        <f>IF(C161="",NA(),MATCH($B161&amp;$C161,'Smelter Look-up'!$J:$J,0))</f>
        <v>504</v>
      </c>
      <c r="W161" s="271"/>
      <c r="X161" s="271">
        <f t="shared" si="22"/>
        <v>0</v>
      </c>
      <c r="Y161" s="271"/>
      <c r="Z161" s="271"/>
      <c r="AB161" s="273" t="str">
        <f t="shared" si="23"/>
        <v>TinThaisarco</v>
      </c>
    </row>
    <row r="162" spans="1:28" s="272" customFormat="1" ht="102" customHeight="1">
      <c r="A162" s="363" t="s">
        <v>683</v>
      </c>
      <c r="B162" s="355" t="s">
        <v>1130</v>
      </c>
      <c r="C162" s="356" t="s">
        <v>2324</v>
      </c>
      <c r="D162" s="357"/>
      <c r="E162" s="355" t="s">
        <v>15646</v>
      </c>
      <c r="F162" s="355" t="s">
        <v>683</v>
      </c>
      <c r="G162" s="355" t="s">
        <v>13459</v>
      </c>
      <c r="H162" s="358" t="s">
        <v>16226</v>
      </c>
      <c r="I162" s="359" t="s">
        <v>1600</v>
      </c>
      <c r="J162" s="359" t="s">
        <v>13825</v>
      </c>
      <c r="K162" s="360" t="s">
        <v>15625</v>
      </c>
      <c r="L162" s="360" t="s">
        <v>16227</v>
      </c>
      <c r="M162" s="360"/>
      <c r="N162" s="360"/>
      <c r="O162" s="360" t="s">
        <v>16228</v>
      </c>
      <c r="P162" s="361"/>
      <c r="Q162" s="362"/>
      <c r="R162" s="215" t="str">
        <f ca="1">IF(ISERROR($V162),"",OFFSET('Smelter Look-up'!$C$4,$V162-4,0)&amp;"")</f>
        <v>Inner Mongolia Qiankun Gold and Silver Refinery Share Co., Ltd.</v>
      </c>
      <c r="S162" s="222" t="str">
        <f t="shared" ca="1" si="21"/>
        <v>CN</v>
      </c>
      <c r="T162" s="222" t="str">
        <f ca="1">IF(B162="","",IF(ISERROR(MATCH($J162,SorP!$B$1:$B$6230,0)),"",INDIRECT("'SorP'!$A$"&amp;MATCH($J162,SorP!$B$1:$B$6230,0))))</f>
        <v>CN-NM</v>
      </c>
      <c r="U162" s="238"/>
      <c r="V162" s="270">
        <f>IF(C162="",NA(),MATCH($B162&amp;$C162,'Smelter Look-up'!$J:$J,0))</f>
        <v>112</v>
      </c>
      <c r="W162" s="271"/>
      <c r="X162" s="271">
        <f t="shared" si="22"/>
        <v>0</v>
      </c>
      <c r="Y162" s="271"/>
      <c r="Z162" s="271"/>
      <c r="AB162" s="273" t="str">
        <f t="shared" si="23"/>
        <v>GoldInner Mongolia Qiankun Gold and Silver Refinery Share Co., Ltd.</v>
      </c>
    </row>
    <row r="163" spans="1:28" s="272" customFormat="1" ht="76.5">
      <c r="A163" s="363" t="s">
        <v>684</v>
      </c>
      <c r="B163" s="355" t="s">
        <v>1130</v>
      </c>
      <c r="C163" s="356" t="s">
        <v>1228</v>
      </c>
      <c r="D163" s="357"/>
      <c r="E163" s="355" t="s">
        <v>15641</v>
      </c>
      <c r="F163" s="355" t="s">
        <v>684</v>
      </c>
      <c r="G163" s="355" t="s">
        <v>13459</v>
      </c>
      <c r="H163" s="358" t="s">
        <v>16229</v>
      </c>
      <c r="I163" s="359" t="s">
        <v>1601</v>
      </c>
      <c r="J163" s="359" t="s">
        <v>1587</v>
      </c>
      <c r="K163" s="360" t="s">
        <v>16230</v>
      </c>
      <c r="L163" s="360" t="s">
        <v>16231</v>
      </c>
      <c r="M163" s="360"/>
      <c r="N163" s="360"/>
      <c r="O163" s="360" t="s">
        <v>16232</v>
      </c>
      <c r="P163" s="361"/>
      <c r="Q163" s="362"/>
      <c r="R163" s="215" t="str">
        <f ca="1">IF(ISERROR($V163),"",OFFSET('Smelter Look-up'!$C$4,$V163-4,0)&amp;"")</f>
        <v>Ishifuku Metal Industry Co., Ltd.</v>
      </c>
      <c r="S163" s="222" t="str">
        <f t="shared" ca="1" si="21"/>
        <v>JP</v>
      </c>
      <c r="T163" s="222" t="str">
        <f ca="1">IF(B163="","",IF(ISERROR(MATCH($J163,SorP!$B$1:$B$6230,0)),"",INDIRECT("'SorP'!$A$"&amp;MATCH($J163,SorP!$B$1:$B$6230,0))))</f>
        <v>JP-11</v>
      </c>
      <c r="U163" s="238"/>
      <c r="V163" s="270">
        <f>IF(C163="",NA(),MATCH($B163&amp;$C163,'Smelter Look-up'!$J:$J,0))</f>
        <v>114</v>
      </c>
      <c r="W163" s="271"/>
      <c r="X163" s="271">
        <f t="shared" si="22"/>
        <v>0</v>
      </c>
      <c r="Y163" s="271"/>
      <c r="Z163" s="271"/>
      <c r="AB163" s="273" t="str">
        <f t="shared" si="23"/>
        <v>GoldIshifuku Metal Industry Co., Ltd.</v>
      </c>
    </row>
    <row r="164" spans="1:28" s="272" customFormat="1" ht="99" customHeight="1">
      <c r="A164" s="363" t="s">
        <v>783</v>
      </c>
      <c r="B164" s="355" t="s">
        <v>1131</v>
      </c>
      <c r="C164" s="356" t="s">
        <v>2173</v>
      </c>
      <c r="D164" s="357"/>
      <c r="E164" s="355" t="s">
        <v>15669</v>
      </c>
      <c r="F164" s="355" t="s">
        <v>783</v>
      </c>
      <c r="G164" s="355" t="s">
        <v>13459</v>
      </c>
      <c r="H164" s="358" t="s">
        <v>16233</v>
      </c>
      <c r="I164" s="359" t="s">
        <v>1780</v>
      </c>
      <c r="J164" s="359" t="s">
        <v>13066</v>
      </c>
      <c r="K164" s="360" t="s">
        <v>16234</v>
      </c>
      <c r="L164" s="360" t="s">
        <v>16235</v>
      </c>
      <c r="M164" s="360"/>
      <c r="N164" s="360"/>
      <c r="O164" s="360" t="s">
        <v>16236</v>
      </c>
      <c r="P164" s="361"/>
      <c r="Q164" s="362"/>
      <c r="R164" s="215" t="str">
        <f ca="1">IF(ISERROR($V164),"",OFFSET('Smelter Look-up'!$C$4,$V164-4,0)&amp;"")</f>
        <v>PT Refined Bangka Tin</v>
      </c>
      <c r="S164" s="222" t="str">
        <f t="shared" ca="1" si="21"/>
        <v>ID</v>
      </c>
      <c r="T164" s="222" t="str">
        <f ca="1">IF(B164="","",IF(ISERROR(MATCH($J164,SorP!$B$1:$B$6230,0)),"",INDIRECT("'SorP'!$A$"&amp;MATCH($J164,SorP!$B$1:$B$6230,0))))</f>
        <v>ID-BB</v>
      </c>
      <c r="U164" s="238"/>
      <c r="V164" s="270">
        <f>IF(C164="",NA(),MATCH($B164&amp;$C164,'Smelter Look-up'!$J:$J,0))</f>
        <v>487</v>
      </c>
      <c r="W164" s="271"/>
      <c r="X164" s="271">
        <f t="shared" si="22"/>
        <v>0</v>
      </c>
      <c r="Y164" s="271"/>
      <c r="Z164" s="271"/>
      <c r="AB164" s="273" t="str">
        <f t="shared" si="23"/>
        <v>TinPT Refined Bangka Tin</v>
      </c>
    </row>
    <row r="165" spans="1:28" s="272" customFormat="1" ht="51">
      <c r="A165" s="363" t="s">
        <v>15406</v>
      </c>
      <c r="B165" s="355" t="s">
        <v>1131</v>
      </c>
      <c r="C165" s="356" t="s">
        <v>15405</v>
      </c>
      <c r="D165" s="357"/>
      <c r="E165" s="355" t="s">
        <v>15669</v>
      </c>
      <c r="F165" s="355" t="s">
        <v>15406</v>
      </c>
      <c r="G165" s="355" t="s">
        <v>13459</v>
      </c>
      <c r="H165" s="358"/>
      <c r="I165" s="359" t="s">
        <v>15438</v>
      </c>
      <c r="J165" s="359" t="s">
        <v>13066</v>
      </c>
      <c r="K165" s="360"/>
      <c r="L165" s="360"/>
      <c r="M165" s="360"/>
      <c r="N165" s="360"/>
      <c r="O165" s="360"/>
      <c r="P165" s="361"/>
      <c r="Q165" s="362"/>
      <c r="R165" s="215" t="str">
        <f ca="1">IF(ISERROR($V165),"",OFFSET('Smelter Look-up'!$C$4,$V165-4,0)&amp;"")</f>
        <v>PT Stanindo Inti Perkasa</v>
      </c>
      <c r="S165" s="222" t="str">
        <f t="shared" ca="1" si="21"/>
        <v>ID</v>
      </c>
      <c r="T165" s="222" t="str">
        <f ca="1">IF(B165="","",IF(ISERROR(MATCH($J165,SorP!$B$1:$B$6230,0)),"",INDIRECT("'SorP'!$A$"&amp;MATCH($J165,SorP!$B$1:$B$6230,0))))</f>
        <v>ID-BB</v>
      </c>
      <c r="U165" s="238"/>
      <c r="V165" s="270">
        <f>IF(C165="",NA(),MATCH($B165&amp;$C165,'Smelter Look-up'!$J:$J,0))</f>
        <v>488</v>
      </c>
      <c r="W165" s="271"/>
      <c r="X165" s="271">
        <f t="shared" si="22"/>
        <v>0</v>
      </c>
      <c r="Y165" s="271"/>
      <c r="Z165" s="271"/>
      <c r="AB165" s="273" t="str">
        <f t="shared" si="23"/>
        <v>TinPT Stanindo Inti Perkasa</v>
      </c>
    </row>
    <row r="166" spans="1:28" s="272" customFormat="1" ht="51">
      <c r="A166" s="363" t="s">
        <v>724</v>
      </c>
      <c r="B166" s="355" t="s">
        <v>1130</v>
      </c>
      <c r="C166" s="356" t="s">
        <v>913</v>
      </c>
      <c r="D166" s="357"/>
      <c r="E166" s="355" t="s">
        <v>15666</v>
      </c>
      <c r="F166" s="355" t="s">
        <v>724</v>
      </c>
      <c r="G166" s="355" t="s">
        <v>13459</v>
      </c>
      <c r="H166" s="358" t="s">
        <v>16237</v>
      </c>
      <c r="I166" s="359" t="s">
        <v>1653</v>
      </c>
      <c r="J166" s="359" t="s">
        <v>1610</v>
      </c>
      <c r="K166" s="360" t="s">
        <v>16238</v>
      </c>
      <c r="L166" s="360" t="s">
        <v>16239</v>
      </c>
      <c r="M166" s="360"/>
      <c r="N166" s="360"/>
      <c r="O166" s="360" t="s">
        <v>16240</v>
      </c>
      <c r="P166" s="361"/>
      <c r="Q166" s="362"/>
      <c r="R166" s="215" t="str">
        <f ca="1">IF(ISERROR($V166),"",OFFSET('Smelter Look-up'!$C$4,$V166-4,0)&amp;"")</f>
        <v>Royal Canadian Mint</v>
      </c>
      <c r="S166" s="222" t="str">
        <f t="shared" ca="1" si="21"/>
        <v>CA</v>
      </c>
      <c r="T166" s="222" t="str">
        <f ca="1">IF(B166="","",IF(ISERROR(MATCH($J166,SorP!$B$1:$B$6230,0)),"",INDIRECT("'SorP'!$A$"&amp;MATCH($J166,SorP!$B$1:$B$6230,0))))</f>
        <v>CA-ON</v>
      </c>
      <c r="U166" s="238"/>
      <c r="V166" s="270">
        <f>IF(C166="",NA(),MATCH($B166&amp;$C166,'Smelter Look-up'!$J:$J,0))</f>
        <v>215</v>
      </c>
      <c r="W166" s="271"/>
      <c r="X166" s="271">
        <f t="shared" si="22"/>
        <v>0</v>
      </c>
      <c r="Y166" s="271"/>
      <c r="Z166" s="271"/>
      <c r="AB166" s="273" t="str">
        <f t="shared" si="23"/>
        <v>GoldRoyal Canadian Mint</v>
      </c>
    </row>
    <row r="167" spans="1:28" s="272" customFormat="1" ht="51">
      <c r="A167" s="363" t="s">
        <v>665</v>
      </c>
      <c r="B167" s="355" t="s">
        <v>1130</v>
      </c>
      <c r="C167" s="356" t="s">
        <v>2524</v>
      </c>
      <c r="D167" s="357"/>
      <c r="E167" s="355" t="s">
        <v>15636</v>
      </c>
      <c r="F167" s="355" t="s">
        <v>665</v>
      </c>
      <c r="G167" s="355" t="s">
        <v>13459</v>
      </c>
      <c r="H167" s="358" t="s">
        <v>16241</v>
      </c>
      <c r="I167" s="359" t="s">
        <v>1572</v>
      </c>
      <c r="J167" s="359" t="s">
        <v>1573</v>
      </c>
      <c r="K167" s="360" t="s">
        <v>16242</v>
      </c>
      <c r="L167" s="360" t="s">
        <v>16243</v>
      </c>
      <c r="M167" s="360"/>
      <c r="N167" s="360"/>
      <c r="O167" s="360" t="s">
        <v>16244</v>
      </c>
      <c r="P167" s="361"/>
      <c r="Q167" s="362"/>
      <c r="R167" s="215" t="str">
        <f ca="1">IF(ISERROR($V167),"",OFFSET('Smelter Look-up'!$C$4,$V167-4,0)&amp;"")</f>
        <v>Cendres + Metaux S.A.</v>
      </c>
      <c r="S167" s="222" t="str">
        <f t="shared" ca="1" si="21"/>
        <v>CH</v>
      </c>
      <c r="T167" s="222" t="str">
        <f ca="1">IF(B167="","",IF(ISERROR(MATCH($J167,SorP!$B$1:$B$6230,0)),"",INDIRECT("'SorP'!$A$"&amp;MATCH($J167,SorP!$B$1:$B$6230,0))))</f>
        <v>CH-BE</v>
      </c>
      <c r="U167" s="238"/>
      <c r="V167" s="270">
        <f>IF(C167="",NA(),MATCH($B167&amp;$C167,'Smelter Look-up'!$J:$J,0))</f>
        <v>46</v>
      </c>
      <c r="W167" s="271"/>
      <c r="X167" s="271">
        <f t="shared" si="22"/>
        <v>0</v>
      </c>
      <c r="Y167" s="271"/>
      <c r="Z167" s="271"/>
      <c r="AB167" s="273" t="str">
        <f t="shared" si="23"/>
        <v>GoldCendres + Metaux S.A.</v>
      </c>
    </row>
    <row r="168" spans="1:28" s="272" customFormat="1" ht="76.5">
      <c r="A168" s="363" t="s">
        <v>744</v>
      </c>
      <c r="B168" s="355" t="s">
        <v>1130</v>
      </c>
      <c r="C168" s="356" t="s">
        <v>2158</v>
      </c>
      <c r="D168" s="357"/>
      <c r="E168" s="355" t="s">
        <v>15646</v>
      </c>
      <c r="F168" s="355" t="s">
        <v>744</v>
      </c>
      <c r="G168" s="355" t="s">
        <v>13459</v>
      </c>
      <c r="H168" s="358" t="s">
        <v>16245</v>
      </c>
      <c r="I168" s="359" t="s">
        <v>1574</v>
      </c>
      <c r="J168" s="359" t="s">
        <v>13851</v>
      </c>
      <c r="K168" s="360" t="s">
        <v>16246</v>
      </c>
      <c r="L168" s="360" t="s">
        <v>16247</v>
      </c>
      <c r="M168" s="360"/>
      <c r="N168" s="360"/>
      <c r="O168" s="360" t="s">
        <v>16248</v>
      </c>
      <c r="P168" s="361"/>
      <c r="Q168" s="362"/>
      <c r="R168" s="215" t="str">
        <f ca="1">IF(ISERROR($V168),"",OFFSET('Smelter Look-up'!$C$4,$V168-4,0)&amp;"")</f>
        <v>Yunnan Copper Industry Co., Ltd.</v>
      </c>
      <c r="S168" s="222" t="str">
        <f t="shared" ca="1" si="21"/>
        <v>CN</v>
      </c>
      <c r="T168" s="222" t="str">
        <f ca="1">IF(B168="","",IF(ISERROR(MATCH($J168,SorP!$B$1:$B$6230,0)),"",INDIRECT("'SorP'!$A$"&amp;MATCH($J168,SorP!$B$1:$B$6230,0))))</f>
        <v>CN-YN</v>
      </c>
      <c r="U168" s="238"/>
      <c r="V168" s="270">
        <f>IF(C168="",NA(),MATCH($B168&amp;$C168,'Smelter Look-up'!$J:$J,0))</f>
        <v>301</v>
      </c>
      <c r="W168" s="271"/>
      <c r="X168" s="271">
        <f t="shared" si="22"/>
        <v>0</v>
      </c>
      <c r="Y168" s="271"/>
      <c r="Z168" s="271"/>
      <c r="AB168" s="273" t="str">
        <f t="shared" si="23"/>
        <v>GoldYunnan Copper Industry Co., Ltd.</v>
      </c>
    </row>
    <row r="169" spans="1:28" s="272" customFormat="1" ht="63.75">
      <c r="A169" s="363" t="s">
        <v>670</v>
      </c>
      <c r="B169" s="355" t="s">
        <v>1130</v>
      </c>
      <c r="C169" s="356" t="s">
        <v>2275</v>
      </c>
      <c r="D169" s="357"/>
      <c r="E169" s="355" t="s">
        <v>15751</v>
      </c>
      <c r="F169" s="355" t="s">
        <v>670</v>
      </c>
      <c r="G169" s="355" t="s">
        <v>13459</v>
      </c>
      <c r="H169" s="358" t="s">
        <v>16249</v>
      </c>
      <c r="I169" s="359" t="s">
        <v>1580</v>
      </c>
      <c r="J169" s="359" t="s">
        <v>13085</v>
      </c>
      <c r="K169" s="360" t="s">
        <v>16250</v>
      </c>
      <c r="L169" s="360" t="s">
        <v>16251</v>
      </c>
      <c r="M169" s="360"/>
      <c r="N169" s="360"/>
      <c r="O169" s="360" t="s">
        <v>16252</v>
      </c>
      <c r="P169" s="361"/>
      <c r="Q169" s="362"/>
      <c r="R169" s="215" t="str">
        <f ca="1">IF(ISERROR($V169),"",OFFSET('Smelter Look-up'!$C$4,$V169-4,0)&amp;"")</f>
        <v>DSC (Do Sung Corporation)</v>
      </c>
      <c r="S169" s="222" t="str">
        <f t="shared" ca="1" si="21"/>
        <v>KR</v>
      </c>
      <c r="T169" s="222" t="str">
        <f ca="1">IF(B169="","",IF(ISERROR(MATCH($J169,SorP!$B$1:$B$6230,0)),"",INDIRECT("'SorP'!$A$"&amp;MATCH($J169,SorP!$B$1:$B$6230,0))))</f>
        <v>KR-41</v>
      </c>
      <c r="U169" s="238"/>
      <c r="V169" s="270">
        <f>IF(C169="",NA(),MATCH($B169&amp;$C169,'Smelter Look-up'!$J:$J,0))</f>
        <v>69</v>
      </c>
      <c r="W169" s="271"/>
      <c r="X169" s="271">
        <f t="shared" si="22"/>
        <v>0</v>
      </c>
      <c r="Y169" s="271"/>
      <c r="Z169" s="271"/>
      <c r="AB169" s="273" t="str">
        <f t="shared" si="23"/>
        <v>GoldDSC (Do Sung Corporation)</v>
      </c>
    </row>
    <row r="170" spans="1:28" s="272" customFormat="1" ht="89.25">
      <c r="A170" s="363" t="s">
        <v>397</v>
      </c>
      <c r="B170" s="355" t="s">
        <v>1130</v>
      </c>
      <c r="C170" s="356" t="s">
        <v>14078</v>
      </c>
      <c r="D170" s="357"/>
      <c r="E170" s="355" t="s">
        <v>15641</v>
      </c>
      <c r="F170" s="355" t="s">
        <v>397</v>
      </c>
      <c r="G170" s="355" t="s">
        <v>13459</v>
      </c>
      <c r="H170" s="358" t="s">
        <v>16253</v>
      </c>
      <c r="I170" s="359" t="s">
        <v>1586</v>
      </c>
      <c r="J170" s="359" t="s">
        <v>1587</v>
      </c>
      <c r="K170" s="360" t="s">
        <v>16254</v>
      </c>
      <c r="L170" s="360" t="s">
        <v>16255</v>
      </c>
      <c r="M170" s="360"/>
      <c r="N170" s="360"/>
      <c r="O170" s="360" t="s">
        <v>15713</v>
      </c>
      <c r="P170" s="361"/>
      <c r="Q170" s="362"/>
      <c r="R170" s="215" t="str">
        <f ca="1">IF(ISERROR($V170),"",OFFSET('Smelter Look-up'!$C$4,$V170-4,0)&amp;"")</f>
        <v>Eco-System Recycling Co., Ltd. East Plant</v>
      </c>
      <c r="S170" s="222" t="str">
        <f t="shared" ca="1" si="21"/>
        <v>JP</v>
      </c>
      <c r="T170" s="222" t="str">
        <f ca="1">IF(B170="","",IF(ISERROR(MATCH($J170,SorP!$B$1:$B$6230,0)),"",INDIRECT("'SorP'!$A$"&amp;MATCH($J170,SorP!$B$1:$B$6230,0))))</f>
        <v>JP-11</v>
      </c>
      <c r="U170" s="238"/>
      <c r="V170" s="270">
        <f>IF(C170="",NA(),MATCH($B170&amp;$C170,'Smelter Look-up'!$J:$J,0))</f>
        <v>70</v>
      </c>
      <c r="W170" s="271"/>
      <c r="X170" s="271">
        <f t="shared" si="22"/>
        <v>0</v>
      </c>
      <c r="Y170" s="271"/>
      <c r="Z170" s="271"/>
      <c r="AB170" s="273" t="str">
        <f t="shared" si="23"/>
        <v>GoldEco-System Recycling Co., Ltd. East Plant</v>
      </c>
    </row>
    <row r="171" spans="1:28" s="272" customFormat="1" ht="97.5" customHeight="1">
      <c r="A171" s="363" t="s">
        <v>1591</v>
      </c>
      <c r="B171" s="355" t="s">
        <v>1130</v>
      </c>
      <c r="C171" s="356" t="s">
        <v>1590</v>
      </c>
      <c r="D171" s="357"/>
      <c r="E171" s="355" t="s">
        <v>15646</v>
      </c>
      <c r="F171" s="355" t="s">
        <v>1591</v>
      </c>
      <c r="G171" s="355" t="s">
        <v>13459</v>
      </c>
      <c r="H171" s="358" t="s">
        <v>16256</v>
      </c>
      <c r="I171" s="359" t="s">
        <v>1592</v>
      </c>
      <c r="J171" s="359" t="s">
        <v>13843</v>
      </c>
      <c r="K171" s="360" t="s">
        <v>16257</v>
      </c>
      <c r="L171" s="360" t="s">
        <v>16258</v>
      </c>
      <c r="M171" s="360"/>
      <c r="N171" s="360"/>
      <c r="O171" s="360" t="s">
        <v>16259</v>
      </c>
      <c r="P171" s="361"/>
      <c r="Q171" s="362"/>
      <c r="R171" s="215" t="str">
        <f ca="1">IF(ISERROR($V171),"",OFFSET('Smelter Look-up'!$C$4,$V171-4,0)&amp;"")</f>
        <v>Guoda Safina High-Tech Environmental Refinery Co., Ltd.</v>
      </c>
      <c r="S171" s="222" t="str">
        <f t="shared" ca="1" si="21"/>
        <v>CN</v>
      </c>
      <c r="T171" s="222" t="str">
        <f ca="1">IF(B171="","",IF(ISERROR(MATCH($J171,SorP!$B$1:$B$6230,0)),"",INDIRECT("'SorP'!$A$"&amp;MATCH($J171,SorP!$B$1:$B$6230,0))))</f>
        <v>CN-SD</v>
      </c>
      <c r="U171" s="238"/>
      <c r="V171" s="270">
        <f>IF(C171="",NA(),MATCH($B171&amp;$C171,'Smelter Look-up'!$J:$J,0))</f>
        <v>94</v>
      </c>
      <c r="W171" s="271"/>
      <c r="X171" s="271">
        <f t="shared" si="22"/>
        <v>0</v>
      </c>
      <c r="Y171" s="271"/>
      <c r="Z171" s="271"/>
      <c r="AB171" s="273" t="str">
        <f t="shared" si="23"/>
        <v>GoldGuoda Safina High-Tech Environmental Refinery Co., Ltd.</v>
      </c>
    </row>
    <row r="172" spans="1:28" s="272" customFormat="1" ht="102">
      <c r="A172" s="363" t="s">
        <v>706</v>
      </c>
      <c r="B172" s="355" t="s">
        <v>1130</v>
      </c>
      <c r="C172" s="356" t="s">
        <v>2167</v>
      </c>
      <c r="D172" s="357"/>
      <c r="E172" s="355" t="s">
        <v>12936</v>
      </c>
      <c r="F172" s="355" t="s">
        <v>706</v>
      </c>
      <c r="G172" s="355" t="s">
        <v>13459</v>
      </c>
      <c r="H172" s="358" t="s">
        <v>16260</v>
      </c>
      <c r="I172" s="359" t="s">
        <v>12936</v>
      </c>
      <c r="J172" s="359" t="s">
        <v>10505</v>
      </c>
      <c r="K172" s="360" t="s">
        <v>16261</v>
      </c>
      <c r="L172" s="360" t="s">
        <v>16262</v>
      </c>
      <c r="M172" s="360"/>
      <c r="N172" s="360"/>
      <c r="O172" s="360" t="s">
        <v>16263</v>
      </c>
      <c r="P172" s="361"/>
      <c r="Q172" s="362"/>
      <c r="R172" s="215" t="str">
        <f ca="1">IF(ISERROR($V172),"",OFFSET('Smelter Look-up'!$C$4,$V172-4,0)&amp;"")</f>
        <v>Metalor Technologies (Singapore) Pte., Ltd.</v>
      </c>
      <c r="S172" s="222" t="str">
        <f t="shared" ca="1" si="21"/>
        <v>SG</v>
      </c>
      <c r="T172" s="222" t="str">
        <f ca="1">IF(B172="","",IF(ISERROR(MATCH($J172,SorP!$B$1:$B$6230,0)),"",INDIRECT("'SorP'!$A$"&amp;MATCH($J172,SorP!$B$1:$B$6230,0))))</f>
        <v>SG-05</v>
      </c>
      <c r="U172" s="238"/>
      <c r="V172" s="270">
        <f>IF(C172="",NA(),MATCH($B172&amp;$C172,'Smelter Look-up'!$J:$J,0))</f>
        <v>169</v>
      </c>
      <c r="W172" s="271"/>
      <c r="X172" s="271">
        <f t="shared" si="22"/>
        <v>0</v>
      </c>
      <c r="Y172" s="271"/>
      <c r="Z172" s="271"/>
      <c r="AB172" s="273" t="str">
        <f t="shared" si="23"/>
        <v>GoldMetalor Technologies (Singapore) Pte., Ltd.</v>
      </c>
    </row>
    <row r="173" spans="1:28" s="272" customFormat="1" ht="63.75">
      <c r="A173" s="363" t="s">
        <v>687</v>
      </c>
      <c r="B173" s="355" t="s">
        <v>1130</v>
      </c>
      <c r="C173" s="356" t="s">
        <v>2325</v>
      </c>
      <c r="D173" s="357"/>
      <c r="E173" s="355" t="s">
        <v>15646</v>
      </c>
      <c r="F173" s="355" t="s">
        <v>687</v>
      </c>
      <c r="G173" s="355" t="s">
        <v>13459</v>
      </c>
      <c r="H173" s="358" t="s">
        <v>16264</v>
      </c>
      <c r="I173" s="359" t="s">
        <v>1604</v>
      </c>
      <c r="J173" s="359" t="s">
        <v>13842</v>
      </c>
      <c r="K173" s="360" t="s">
        <v>16265</v>
      </c>
      <c r="L173" s="360" t="s">
        <v>16266</v>
      </c>
      <c r="M173" s="360"/>
      <c r="N173" s="360"/>
      <c r="O173" s="360" t="s">
        <v>16267</v>
      </c>
      <c r="P173" s="361"/>
      <c r="Q173" s="362"/>
      <c r="R173" s="215" t="str">
        <f ca="1">IF(ISERROR($V173),"",OFFSET('Smelter Look-up'!$C$4,$V173-4,0)&amp;"")</f>
        <v>Jiangxi Copper Co., Ltd.</v>
      </c>
      <c r="S173" s="222" t="str">
        <f t="shared" ca="1" si="21"/>
        <v>CN</v>
      </c>
      <c r="T173" s="222" t="str">
        <f ca="1">IF(B173="","",IF(ISERROR(MATCH($J173,SorP!$B$1:$B$6230,0)),"",INDIRECT("'SorP'!$A$"&amp;MATCH($J173,SorP!$B$1:$B$6230,0))))</f>
        <v>CN-JX</v>
      </c>
      <c r="U173" s="238"/>
      <c r="V173" s="270">
        <f>IF(C173="",NA(),MATCH($B173&amp;$C173,'Smelter Look-up'!$J:$J,0))</f>
        <v>120</v>
      </c>
      <c r="W173" s="271"/>
      <c r="X173" s="271">
        <f t="shared" si="22"/>
        <v>0</v>
      </c>
      <c r="Y173" s="271"/>
      <c r="Z173" s="271"/>
      <c r="AB173" s="273" t="str">
        <f t="shared" si="23"/>
        <v>GoldJiangxi Copper Co., Ltd.</v>
      </c>
    </row>
    <row r="174" spans="1:28" s="272" customFormat="1" ht="82.5" customHeight="1">
      <c r="A174" s="363" t="s">
        <v>800</v>
      </c>
      <c r="B174" s="355" t="s">
        <v>1133</v>
      </c>
      <c r="C174" s="356" t="s">
        <v>149</v>
      </c>
      <c r="D174" s="357"/>
      <c r="E174" s="355" t="s">
        <v>15646</v>
      </c>
      <c r="F174" s="355" t="s">
        <v>800</v>
      </c>
      <c r="G174" s="355" t="s">
        <v>13459</v>
      </c>
      <c r="H174" s="358" t="s">
        <v>16268</v>
      </c>
      <c r="I174" s="359" t="s">
        <v>1787</v>
      </c>
      <c r="J174" s="359" t="s">
        <v>13842</v>
      </c>
      <c r="K174" s="360" t="s">
        <v>16269</v>
      </c>
      <c r="L174" s="360" t="s">
        <v>16270</v>
      </c>
      <c r="M174" s="360"/>
      <c r="N174" s="360"/>
      <c r="O174" s="360" t="s">
        <v>16271</v>
      </c>
      <c r="P174" s="361"/>
      <c r="Q174" s="362"/>
      <c r="R174" s="215" t="str">
        <f ca="1">IF(ISERROR($V174),"",OFFSET('Smelter Look-up'!$C$4,$V174-4,0)&amp;"")</f>
        <v>Ganzhou Huaxing Tungsten Products Co., Ltd.</v>
      </c>
      <c r="S174" s="222" t="str">
        <f t="shared" ca="1" si="21"/>
        <v>CN</v>
      </c>
      <c r="T174" s="222" t="str">
        <f ca="1">IF(B174="","",IF(ISERROR(MATCH($J174,SorP!$B$1:$B$6230,0)),"",INDIRECT("'SorP'!$A$"&amp;MATCH($J174,SorP!$B$1:$B$6230,0))))</f>
        <v>CN-JX</v>
      </c>
      <c r="U174" s="238"/>
      <c r="V174" s="270">
        <f>IF(C174="",NA(),MATCH($B174&amp;$C174,'Smelter Look-up'!$J:$J,0))</f>
        <v>556</v>
      </c>
      <c r="W174" s="271"/>
      <c r="X174" s="271">
        <f t="shared" si="22"/>
        <v>0</v>
      </c>
      <c r="Y174" s="271"/>
      <c r="Z174" s="271"/>
      <c r="AB174" s="273" t="str">
        <f t="shared" si="23"/>
        <v>TungstenGanzhou Huaxing Tungsten Products Co., Ltd.</v>
      </c>
    </row>
    <row r="175" spans="1:28" s="272" customFormat="1" ht="84" customHeight="1">
      <c r="A175" s="363" t="s">
        <v>396</v>
      </c>
      <c r="B175" s="355" t="s">
        <v>1132</v>
      </c>
      <c r="C175" s="356" t="s">
        <v>3</v>
      </c>
      <c r="D175" s="357"/>
      <c r="E175" s="355" t="s">
        <v>15646</v>
      </c>
      <c r="F175" s="355" t="s">
        <v>396</v>
      </c>
      <c r="G175" s="355" t="s">
        <v>13459</v>
      </c>
      <c r="H175" s="358" t="s">
        <v>16272</v>
      </c>
      <c r="I175" s="359" t="s">
        <v>1752</v>
      </c>
      <c r="J175" s="359" t="s">
        <v>13846</v>
      </c>
      <c r="K175" s="360" t="s">
        <v>16273</v>
      </c>
      <c r="L175" s="360" t="s">
        <v>16274</v>
      </c>
      <c r="M175" s="360"/>
      <c r="N175" s="360"/>
      <c r="O175" s="360" t="s">
        <v>16275</v>
      </c>
      <c r="P175" s="361"/>
      <c r="Q175" s="362"/>
      <c r="R175" s="215" t="str">
        <f ca="1">IF(ISERROR($V175),"",OFFSET('Smelter Look-up'!$C$4,$V175-4,0)&amp;"")</f>
        <v>Hengyang King Xing Lifeng New Materials Co., Ltd.</v>
      </c>
      <c r="S175" s="222" t="str">
        <f t="shared" ca="1" si="21"/>
        <v>CN</v>
      </c>
      <c r="T175" s="222" t="str">
        <f ca="1">IF(B175="","",IF(ISERROR(MATCH($J175,SorP!$B$1:$B$6230,0)),"",INDIRECT("'SorP'!$A$"&amp;MATCH($J175,SorP!$B$1:$B$6230,0))))</f>
        <v>CN-HN</v>
      </c>
      <c r="U175" s="238"/>
      <c r="V175" s="270">
        <f>IF(C175="",NA(),MATCH($B175&amp;$C175,'Smelter Look-up'!$J:$J,0))</f>
        <v>332</v>
      </c>
      <c r="W175" s="271"/>
      <c r="X175" s="271">
        <f t="shared" si="22"/>
        <v>0</v>
      </c>
      <c r="Y175" s="271"/>
      <c r="Z175" s="271"/>
      <c r="AB175" s="273" t="str">
        <f t="shared" si="23"/>
        <v>TantalumHengyang King Xing Lifeng New Materials Co., Ltd.</v>
      </c>
    </row>
    <row r="176" spans="1:28" s="272" customFormat="1" ht="89.25">
      <c r="A176" s="363" t="s">
        <v>14101</v>
      </c>
      <c r="B176" s="355" t="s">
        <v>1130</v>
      </c>
      <c r="C176" s="356" t="s">
        <v>14076</v>
      </c>
      <c r="D176" s="357"/>
      <c r="E176" s="355" t="s">
        <v>16276</v>
      </c>
      <c r="F176" s="355" t="s">
        <v>14101</v>
      </c>
      <c r="G176" s="355" t="s">
        <v>13459</v>
      </c>
      <c r="H176" s="358" t="s">
        <v>16277</v>
      </c>
      <c r="I176" s="359" t="s">
        <v>14116</v>
      </c>
      <c r="J176" s="359" t="s">
        <v>3966</v>
      </c>
      <c r="K176" s="360" t="s">
        <v>16278</v>
      </c>
      <c r="L176" s="360" t="s">
        <v>16279</v>
      </c>
      <c r="M176" s="360"/>
      <c r="N176" s="360"/>
      <c r="O176" s="360" t="s">
        <v>15712</v>
      </c>
      <c r="P176" s="361"/>
      <c r="Q176" s="362"/>
      <c r="R176" s="215" t="str">
        <f ca="1">IF(ISERROR($V176),"",OFFSET('Smelter Look-up'!$C$4,$V176-4,0)&amp;"")</f>
        <v>C.I Metales Procesados Industriales SAS</v>
      </c>
      <c r="S176" s="222" t="str">
        <f t="shared" ref="S176" ca="1" si="24">IF(B176="","",IF(ISERROR(MATCH($E176,CL,0)),"Unknown",INDIRECT("'C'!$A$"&amp;MATCH($E176,CL,0)+1)))</f>
        <v>CO</v>
      </c>
      <c r="T176" s="222" t="str">
        <f ca="1">IF(B176="","",IF(ISERROR(MATCH($J176,SorP!$B$1:$B$6230,0)),"",INDIRECT("'SorP'!$A$"&amp;MATCH($J176,SorP!$B$1:$B$6230,0))))</f>
        <v>CO-CUN</v>
      </c>
      <c r="U176" s="238"/>
      <c r="V176" s="270">
        <f>IF(C176="",NA(),MATCH($B176&amp;$C176,'Smelter Look-up'!$J:$J,0))</f>
        <v>41</v>
      </c>
      <c r="W176" s="271"/>
      <c r="X176" s="271">
        <f t="shared" ref="X176" si="25">IF(AND(C176="Smelter not listed",OR(LEN(D176)=0,LEN(E176)=0)),1,0)</f>
        <v>0</v>
      </c>
      <c r="Y176" s="271"/>
      <c r="Z176" s="271"/>
      <c r="AB176" s="273" t="str">
        <f t="shared" ref="AB176" si="26">B176&amp;C176</f>
        <v>GoldC.I Metales Procesados Industriales SAS</v>
      </c>
    </row>
    <row r="177" spans="1:28" s="272" customFormat="1" ht="89.25">
      <c r="A177" s="363" t="s">
        <v>707</v>
      </c>
      <c r="B177" s="355" t="s">
        <v>1130</v>
      </c>
      <c r="C177" s="356" t="s">
        <v>2331</v>
      </c>
      <c r="D177" s="357"/>
      <c r="E177" s="355" t="s">
        <v>15636</v>
      </c>
      <c r="F177" s="355" t="s">
        <v>707</v>
      </c>
      <c r="G177" s="355" t="s">
        <v>13459</v>
      </c>
      <c r="H177" s="358" t="s">
        <v>16280</v>
      </c>
      <c r="I177" s="359" t="s">
        <v>1629</v>
      </c>
      <c r="J177" s="359" t="s">
        <v>1630</v>
      </c>
      <c r="K177" s="360" t="s">
        <v>16281</v>
      </c>
      <c r="L177" s="360" t="s">
        <v>16282</v>
      </c>
      <c r="M177" s="360"/>
      <c r="N177" s="360"/>
      <c r="O177" s="360" t="s">
        <v>16283</v>
      </c>
      <c r="P177" s="361"/>
      <c r="Q177" s="362"/>
      <c r="R177" s="215" t="str">
        <f ca="1">IF(ISERROR($V177),"",OFFSET('Smelter Look-up'!$C$4,$V177-4,0)&amp;"")</f>
        <v>Metalor Technologies S.A.</v>
      </c>
      <c r="S177" s="222" t="str">
        <f t="shared" ref="S177:S208" ca="1" si="27">IF(B177="","",IF(ISERROR(MATCH($E177,CL,0)),"Unknown",INDIRECT("'C'!$A$"&amp;MATCH($E177,CL,0)+1)))</f>
        <v>CH</v>
      </c>
      <c r="T177" s="222" t="str">
        <f ca="1">IF(B177="","",IF(ISERROR(MATCH($J177,SorP!$B$1:$B$6230,0)),"",INDIRECT("'SorP'!$A$"&amp;MATCH($J177,SorP!$B$1:$B$6230,0))))</f>
        <v>CH-NE</v>
      </c>
      <c r="U177" s="238"/>
      <c r="V177" s="270">
        <f>IF(C177="",NA(),MATCH($B177&amp;$C177,'Smelter Look-up'!$J:$J,0))</f>
        <v>171</v>
      </c>
      <c r="W177" s="271"/>
      <c r="X177" s="271">
        <f t="shared" ref="X177:X208" si="28">IF(AND(C177="Smelter not listed",OR(LEN(D177)=0,LEN(E177)=0)),1,0)</f>
        <v>0</v>
      </c>
      <c r="Y177" s="271"/>
      <c r="Z177" s="271"/>
      <c r="AB177" s="273" t="str">
        <f t="shared" ref="AB177:AB208" si="29">B177&amp;C177</f>
        <v>GoldMetalor Technologies S.A.</v>
      </c>
    </row>
    <row r="178" spans="1:28" s="272" customFormat="1" ht="88.5" customHeight="1">
      <c r="A178" s="363" t="s">
        <v>755</v>
      </c>
      <c r="B178" s="355" t="s">
        <v>1132</v>
      </c>
      <c r="C178" s="356" t="s">
        <v>2168</v>
      </c>
      <c r="D178" s="357"/>
      <c r="E178" s="355" t="s">
        <v>15958</v>
      </c>
      <c r="F178" s="355" t="s">
        <v>755</v>
      </c>
      <c r="G178" s="355" t="s">
        <v>13459</v>
      </c>
      <c r="H178" s="358" t="s">
        <v>16284</v>
      </c>
      <c r="I178" s="359" t="s">
        <v>1733</v>
      </c>
      <c r="J178" s="359" t="s">
        <v>1734</v>
      </c>
      <c r="K178" s="360" t="s">
        <v>16285</v>
      </c>
      <c r="L178" s="360" t="s">
        <v>16286</v>
      </c>
      <c r="M178" s="360"/>
      <c r="N178" s="360"/>
      <c r="O178" s="360" t="s">
        <v>16287</v>
      </c>
      <c r="P178" s="361"/>
      <c r="Q178" s="362"/>
      <c r="R178" s="215" t="str">
        <f ca="1">IF(ISERROR($V178),"",OFFSET('Smelter Look-up'!$C$4,$V178-4,0)&amp;"")</f>
        <v>Metallurgical Products India Pvt., Ltd.</v>
      </c>
      <c r="S178" s="222" t="str">
        <f t="shared" ca="1" si="27"/>
        <v>IN</v>
      </c>
      <c r="T178" s="222" t="str">
        <f ca="1">IF(B178="","",IF(ISERROR(MATCH($J178,SorP!$B$1:$B$6230,0)),"",INDIRECT("'SorP'!$A$"&amp;MATCH($J178,SorP!$B$1:$B$6230,0))))</f>
        <v>IN-MH</v>
      </c>
      <c r="U178" s="238"/>
      <c r="V178" s="270">
        <f>IF(C178="",NA(),MATCH($B178&amp;$C178,'Smelter Look-up'!$J:$J,0))</f>
        <v>344</v>
      </c>
      <c r="W178" s="271"/>
      <c r="X178" s="271">
        <f t="shared" si="28"/>
        <v>0</v>
      </c>
      <c r="Y178" s="271"/>
      <c r="Z178" s="271"/>
      <c r="AB178" s="273" t="str">
        <f t="shared" si="29"/>
        <v>TantalumMetallurgical Products India Pvt., Ltd.</v>
      </c>
    </row>
    <row r="179" spans="1:28" s="272" customFormat="1" ht="63.75">
      <c r="A179" s="363" t="s">
        <v>1390</v>
      </c>
      <c r="B179" s="355" t="s">
        <v>1130</v>
      </c>
      <c r="C179" s="356" t="s">
        <v>2330</v>
      </c>
      <c r="D179" s="357"/>
      <c r="E179" s="355" t="s">
        <v>15646</v>
      </c>
      <c r="F179" s="355" t="s">
        <v>1390</v>
      </c>
      <c r="G179" s="355" t="s">
        <v>13459</v>
      </c>
      <c r="H179" s="358" t="s">
        <v>16288</v>
      </c>
      <c r="I179" s="359" t="s">
        <v>1619</v>
      </c>
      <c r="J179" s="359" t="s">
        <v>13844</v>
      </c>
      <c r="K179" s="360" t="s">
        <v>16289</v>
      </c>
      <c r="L179" s="360" t="s">
        <v>16290</v>
      </c>
      <c r="M179" s="360"/>
      <c r="N179" s="360"/>
      <c r="O179" s="360" t="s">
        <v>16291</v>
      </c>
      <c r="P179" s="361"/>
      <c r="Q179" s="362"/>
      <c r="R179" s="215" t="str">
        <f ca="1">IF(ISERROR($V179),"",OFFSET('Smelter Look-up'!$C$4,$V179-4,0)&amp;"")</f>
        <v>Lingbao Gold Co., Ltd.</v>
      </c>
      <c r="S179" s="222" t="str">
        <f t="shared" ca="1" si="27"/>
        <v>CN</v>
      </c>
      <c r="T179" s="222" t="str">
        <f ca="1">IF(B179="","",IF(ISERROR(MATCH($J179,SorP!$B$1:$B$6230,0)),"",INDIRECT("'SorP'!$A$"&amp;MATCH($J179,SorP!$B$1:$B$6230,0))))</f>
        <v>CN-HA</v>
      </c>
      <c r="U179" s="238"/>
      <c r="V179" s="270">
        <f>IF(C179="",NA(),MATCH($B179&amp;$C179,'Smelter Look-up'!$J:$J,0))</f>
        <v>150</v>
      </c>
      <c r="W179" s="271"/>
      <c r="X179" s="271">
        <f t="shared" si="28"/>
        <v>0</v>
      </c>
      <c r="Y179" s="271"/>
      <c r="Z179" s="271"/>
      <c r="AB179" s="273" t="str">
        <f t="shared" si="29"/>
        <v>GoldLingbao Gold Co., Ltd.</v>
      </c>
    </row>
    <row r="180" spans="1:28" s="272" customFormat="1" ht="89.25">
      <c r="A180" s="363" t="s">
        <v>699</v>
      </c>
      <c r="B180" s="355" t="s">
        <v>1130</v>
      </c>
      <c r="C180" s="356" t="s">
        <v>2164</v>
      </c>
      <c r="D180" s="357"/>
      <c r="E180" s="355" t="s">
        <v>15646</v>
      </c>
      <c r="F180" s="355" t="s">
        <v>699</v>
      </c>
      <c r="G180" s="355" t="s">
        <v>13459</v>
      </c>
      <c r="H180" s="358" t="s">
        <v>16292</v>
      </c>
      <c r="I180" s="359" t="s">
        <v>1619</v>
      </c>
      <c r="J180" s="359" t="s">
        <v>13844</v>
      </c>
      <c r="K180" s="360" t="s">
        <v>16293</v>
      </c>
      <c r="L180" s="360" t="s">
        <v>16294</v>
      </c>
      <c r="M180" s="360"/>
      <c r="N180" s="360"/>
      <c r="O180" s="360" t="s">
        <v>16295</v>
      </c>
      <c r="P180" s="361"/>
      <c r="Q180" s="362"/>
      <c r="R180" s="215" t="str">
        <f ca="1">IF(ISERROR($V180),"",OFFSET('Smelter Look-up'!$C$4,$V180-4,0)&amp;"")</f>
        <v>Lingbao Jinyuan Tonghui Refinery Co., Ltd.</v>
      </c>
      <c r="S180" s="222" t="str">
        <f t="shared" ca="1" si="27"/>
        <v>CN</v>
      </c>
      <c r="T180" s="222" t="str">
        <f ca="1">IF(B180="","",IF(ISERROR(MATCH($J180,SorP!$B$1:$B$6230,0)),"",INDIRECT("'SorP'!$A$"&amp;MATCH($J180,SorP!$B$1:$B$6230,0))))</f>
        <v>CN-HA</v>
      </c>
      <c r="U180" s="238"/>
      <c r="V180" s="270">
        <f>IF(C180="",NA(),MATCH($B180&amp;$C180,'Smelter Look-up'!$J:$J,0))</f>
        <v>151</v>
      </c>
      <c r="W180" s="271"/>
      <c r="X180" s="271">
        <f t="shared" si="28"/>
        <v>0</v>
      </c>
      <c r="Y180" s="271"/>
      <c r="Z180" s="271"/>
      <c r="AB180" s="273" t="str">
        <f t="shared" si="29"/>
        <v>GoldLingbao Jinyuan Tonghui Refinery Co., Ltd.</v>
      </c>
    </row>
    <row r="181" spans="1:28" s="272" customFormat="1" ht="81.75" customHeight="1">
      <c r="A181" s="363" t="s">
        <v>774</v>
      </c>
      <c r="B181" s="355" t="s">
        <v>1131</v>
      </c>
      <c r="C181" s="356" t="s">
        <v>821</v>
      </c>
      <c r="D181" s="357"/>
      <c r="E181" s="355" t="s">
        <v>16296</v>
      </c>
      <c r="F181" s="355" t="s">
        <v>774</v>
      </c>
      <c r="G181" s="355" t="s">
        <v>13459</v>
      </c>
      <c r="H181" s="358" t="s">
        <v>16297</v>
      </c>
      <c r="I181" s="359" t="s">
        <v>1794</v>
      </c>
      <c r="J181" s="359" t="s">
        <v>8868</v>
      </c>
      <c r="K181" s="360" t="s">
        <v>16298</v>
      </c>
      <c r="L181" s="360" t="s">
        <v>16299</v>
      </c>
      <c r="M181" s="360"/>
      <c r="N181" s="360"/>
      <c r="O181" s="360" t="s">
        <v>16300</v>
      </c>
      <c r="P181" s="361"/>
      <c r="Q181" s="362"/>
      <c r="R181" s="215" t="str">
        <f ca="1">IF(ISERROR($V181),"",OFFSET('Smelter Look-up'!$C$4,$V181-4,0)&amp;"")</f>
        <v>Malaysia Smelting Corporation (MSC)</v>
      </c>
      <c r="S181" s="222" t="str">
        <f t="shared" ca="1" si="27"/>
        <v>MY</v>
      </c>
      <c r="T181" s="222" t="str">
        <f ca="1">IF(B181="","",IF(ISERROR(MATCH($J181,SorP!$B$1:$B$6230,0)),"",INDIRECT("'SorP'!$A$"&amp;MATCH($J181,SorP!$B$1:$B$6230,0))))</f>
        <v>MY-07</v>
      </c>
      <c r="U181" s="238"/>
      <c r="V181" s="270">
        <f>IF(C181="",NA(),MATCH($B181&amp;$C181,'Smelter Look-up'!$J:$J,0))</f>
        <v>449</v>
      </c>
      <c r="W181" s="271"/>
      <c r="X181" s="271">
        <f t="shared" si="28"/>
        <v>0</v>
      </c>
      <c r="Y181" s="271"/>
      <c r="Z181" s="271"/>
      <c r="AB181" s="273" t="str">
        <f t="shared" si="29"/>
        <v>TinMalaysia Smelting Corporation (MSC)</v>
      </c>
    </row>
    <row r="182" spans="1:28" s="272" customFormat="1" ht="51">
      <c r="A182" s="363" t="s">
        <v>786</v>
      </c>
      <c r="B182" s="355" t="s">
        <v>1131</v>
      </c>
      <c r="C182" s="356" t="s">
        <v>785</v>
      </c>
      <c r="D182" s="357"/>
      <c r="E182" s="355" t="s">
        <v>15802</v>
      </c>
      <c r="F182" s="355" t="s">
        <v>786</v>
      </c>
      <c r="G182" s="355" t="s">
        <v>13459</v>
      </c>
      <c r="H182" s="358" t="s">
        <v>16301</v>
      </c>
      <c r="I182" s="359" t="s">
        <v>14059</v>
      </c>
      <c r="J182" s="359" t="s">
        <v>1711</v>
      </c>
      <c r="K182" s="360" t="s">
        <v>16302</v>
      </c>
      <c r="L182" s="360" t="s">
        <v>16303</v>
      </c>
      <c r="M182" s="360"/>
      <c r="N182" s="360"/>
      <c r="O182" s="360" t="s">
        <v>16304</v>
      </c>
      <c r="P182" s="361"/>
      <c r="Q182" s="362"/>
      <c r="R182" s="215" t="str">
        <f ca="1">IF(ISERROR($V182),"",OFFSET('Smelter Look-up'!$C$4,$V182-4,0)&amp;"")</f>
        <v>Rui Da Hung</v>
      </c>
      <c r="S182" s="222" t="str">
        <f t="shared" ca="1" si="27"/>
        <v>TW</v>
      </c>
      <c r="T182" s="222" t="str">
        <f ca="1">IF(B182="","",IF(ISERROR(MATCH($J182,SorP!$B$1:$B$6230,0)),"",INDIRECT("'SorP'!$A$"&amp;MATCH($J182,SorP!$B$1:$B$6230,0))))</f>
        <v>TW-TAO</v>
      </c>
      <c r="U182" s="238"/>
      <c r="V182" s="270">
        <f>IF(C182="",NA(),MATCH($B182&amp;$C182,'Smelter Look-up'!$J:$J,0))</f>
        <v>497</v>
      </c>
      <c r="W182" s="271"/>
      <c r="X182" s="271">
        <f t="shared" si="28"/>
        <v>0</v>
      </c>
      <c r="Y182" s="271"/>
      <c r="Z182" s="271"/>
      <c r="AB182" s="273" t="str">
        <f t="shared" si="29"/>
        <v>TinRui Da Hung</v>
      </c>
    </row>
    <row r="183" spans="1:28" s="272" customFormat="1" ht="63.75">
      <c r="A183" s="363" t="s">
        <v>743</v>
      </c>
      <c r="B183" s="355" t="s">
        <v>1130</v>
      </c>
      <c r="C183" s="356" t="s">
        <v>2182</v>
      </c>
      <c r="D183" s="357"/>
      <c r="E183" s="355" t="s">
        <v>15641</v>
      </c>
      <c r="F183" s="355" t="s">
        <v>743</v>
      </c>
      <c r="G183" s="355" t="s">
        <v>13459</v>
      </c>
      <c r="H183" s="358" t="s">
        <v>16305</v>
      </c>
      <c r="I183" s="359" t="s">
        <v>1694</v>
      </c>
      <c r="J183" s="359" t="s">
        <v>1673</v>
      </c>
      <c r="K183" s="360" t="s">
        <v>16306</v>
      </c>
      <c r="L183" s="360" t="s">
        <v>16307</v>
      </c>
      <c r="M183" s="360"/>
      <c r="N183" s="360"/>
      <c r="O183" s="360" t="s">
        <v>16308</v>
      </c>
      <c r="P183" s="361"/>
      <c r="Q183" s="362"/>
      <c r="R183" s="215" t="str">
        <f ca="1">IF(ISERROR($V183),"",OFFSET('Smelter Look-up'!$C$4,$V183-4,0)&amp;"")</f>
        <v>Yokohama Metal Co., Ltd.</v>
      </c>
      <c r="S183" s="222" t="str">
        <f t="shared" ca="1" si="27"/>
        <v>JP</v>
      </c>
      <c r="T183" s="222" t="str">
        <f ca="1">IF(B183="","",IF(ISERROR(MATCH($J183,SorP!$B$1:$B$6230,0)),"",INDIRECT("'SorP'!$A$"&amp;MATCH($J183,SorP!$B$1:$B$6230,0))))</f>
        <v>JP-14</v>
      </c>
      <c r="U183" s="238"/>
      <c r="V183" s="270">
        <f>IF(C183="",NA(),MATCH($B183&amp;$C183,'Smelter Look-up'!$J:$J,0))</f>
        <v>300</v>
      </c>
      <c r="W183" s="271"/>
      <c r="X183" s="271">
        <f t="shared" si="28"/>
        <v>0</v>
      </c>
      <c r="Y183" s="271"/>
      <c r="Z183" s="271"/>
      <c r="AB183" s="273" t="str">
        <f t="shared" si="29"/>
        <v>GoldYokohama Metal Co., Ltd.</v>
      </c>
    </row>
    <row r="184" spans="1:28" s="272" customFormat="1" ht="51">
      <c r="A184" s="363" t="s">
        <v>2342</v>
      </c>
      <c r="B184" s="355" t="s">
        <v>1130</v>
      </c>
      <c r="C184" s="356" t="s">
        <v>14016</v>
      </c>
      <c r="D184" s="357"/>
      <c r="E184" s="355" t="s">
        <v>16309</v>
      </c>
      <c r="F184" s="355" t="s">
        <v>2342</v>
      </c>
      <c r="G184" s="355" t="s">
        <v>13459</v>
      </c>
      <c r="H184" s="358" t="s">
        <v>16310</v>
      </c>
      <c r="I184" s="359" t="s">
        <v>2378</v>
      </c>
      <c r="J184" s="359" t="s">
        <v>9077</v>
      </c>
      <c r="K184" s="360" t="s">
        <v>16311</v>
      </c>
      <c r="L184" s="360" t="s">
        <v>16312</v>
      </c>
      <c r="M184" s="360"/>
      <c r="N184" s="360"/>
      <c r="O184" s="360" t="s">
        <v>16313</v>
      </c>
      <c r="P184" s="361"/>
      <c r="Q184" s="362"/>
      <c r="R184" s="215" t="str">
        <f ca="1">IF(ISERROR($V184),"",OFFSET('Smelter Look-up'!$C$4,$V184-4,0)&amp;"")</f>
        <v>REMONDIS PMR B.V.</v>
      </c>
      <c r="S184" s="222" t="str">
        <f t="shared" ca="1" si="27"/>
        <v>NL</v>
      </c>
      <c r="T184" s="222" t="str">
        <f ca="1">IF(B184="","",IF(ISERROR(MATCH($J184,SorP!$B$1:$B$6230,0)),"",INDIRECT("'SorP'!$A$"&amp;MATCH($J184,SorP!$B$1:$B$6230,0))))</f>
        <v>NL-NB</v>
      </c>
      <c r="U184" s="238"/>
      <c r="V184" s="270">
        <f>IF(C184="",NA(),MATCH($B184&amp;$C184,'Smelter Look-up'!$J:$J,0))</f>
        <v>214</v>
      </c>
      <c r="W184" s="271"/>
      <c r="X184" s="271">
        <f t="shared" si="28"/>
        <v>0</v>
      </c>
      <c r="Y184" s="271"/>
      <c r="Z184" s="271"/>
      <c r="AB184" s="273" t="str">
        <f t="shared" si="29"/>
        <v>GoldREMONDIS PMR B.V.</v>
      </c>
    </row>
    <row r="185" spans="1:28" s="272" customFormat="1" ht="51">
      <c r="A185" s="363" t="s">
        <v>14013</v>
      </c>
      <c r="B185" s="355" t="s">
        <v>1130</v>
      </c>
      <c r="C185" s="356" t="s">
        <v>14012</v>
      </c>
      <c r="D185" s="357"/>
      <c r="E185" s="355" t="s">
        <v>16314</v>
      </c>
      <c r="F185" s="355" t="s">
        <v>14013</v>
      </c>
      <c r="G185" s="355" t="s">
        <v>13459</v>
      </c>
      <c r="H185" s="358" t="s">
        <v>16315</v>
      </c>
      <c r="I185" s="359" t="s">
        <v>14055</v>
      </c>
      <c r="J185" s="359" t="s">
        <v>2608</v>
      </c>
      <c r="K185" s="360" t="s">
        <v>15625</v>
      </c>
      <c r="L185" s="360" t="s">
        <v>16316</v>
      </c>
      <c r="M185" s="360"/>
      <c r="N185" s="360"/>
      <c r="O185" s="360" t="s">
        <v>15712</v>
      </c>
      <c r="P185" s="361"/>
      <c r="Q185" s="362"/>
      <c r="R185" s="215" t="str">
        <f ca="1">IF(ISERROR($V185),"",OFFSET('Smelter Look-up'!$C$4,$V185-4,0)&amp;"")</f>
        <v>Fujairah Gold FZC</v>
      </c>
      <c r="S185" s="222" t="str">
        <f t="shared" ca="1" si="27"/>
        <v>AE</v>
      </c>
      <c r="T185" s="222" t="str">
        <f ca="1">IF(B185="","",IF(ISERROR(MATCH($J185,SorP!$B$1:$B$6230,0)),"",INDIRECT("'SorP'!$A$"&amp;MATCH($J185,SorP!$B$1:$B$6230,0))))</f>
        <v>AE-FU</v>
      </c>
      <c r="U185" s="238"/>
      <c r="V185" s="270">
        <f>IF(C185="",NA(),MATCH($B185&amp;$C185,'Smelter Look-up'!$J:$J,0))</f>
        <v>82</v>
      </c>
      <c r="W185" s="271"/>
      <c r="X185" s="271">
        <f t="shared" si="28"/>
        <v>0</v>
      </c>
      <c r="Y185" s="271"/>
      <c r="Z185" s="271"/>
      <c r="AB185" s="273" t="str">
        <f t="shared" si="29"/>
        <v>GoldFujairah Gold FZC</v>
      </c>
    </row>
    <row r="186" spans="1:28" s="272" customFormat="1" ht="38.25">
      <c r="A186" s="363" t="s">
        <v>2281</v>
      </c>
      <c r="B186" s="355" t="s">
        <v>1130</v>
      </c>
      <c r="C186" s="356" t="s">
        <v>2280</v>
      </c>
      <c r="D186" s="357"/>
      <c r="E186" s="355" t="s">
        <v>15791</v>
      </c>
      <c r="F186" s="355" t="s">
        <v>2281</v>
      </c>
      <c r="G186" s="355" t="s">
        <v>13459</v>
      </c>
      <c r="H186" s="358" t="s">
        <v>16317</v>
      </c>
      <c r="I186" s="359" t="s">
        <v>1685</v>
      </c>
      <c r="J186" s="359" t="s">
        <v>3190</v>
      </c>
      <c r="K186" s="360" t="s">
        <v>16318</v>
      </c>
      <c r="L186" s="360" t="s">
        <v>16319</v>
      </c>
      <c r="M186" s="360"/>
      <c r="N186" s="360"/>
      <c r="O186" s="360" t="s">
        <v>16320</v>
      </c>
      <c r="P186" s="361"/>
      <c r="Q186" s="362"/>
      <c r="R186" s="215" t="str">
        <f ca="1">IF(ISERROR($V186),"",OFFSET('Smelter Look-up'!$C$4,$V186-4,0)&amp;"")</f>
        <v>Industrial Refining Company</v>
      </c>
      <c r="S186" s="222" t="str">
        <f t="shared" ca="1" si="27"/>
        <v>BE</v>
      </c>
      <c r="T186" s="222" t="str">
        <f ca="1">IF(B186="","",IF(ISERROR(MATCH($J186,SorP!$B$1:$B$6230,0)),"",INDIRECT("'SorP'!$A$"&amp;MATCH($J186,SorP!$B$1:$B$6230,0))))</f>
        <v>BE-VAN</v>
      </c>
      <c r="U186" s="238"/>
      <c r="V186" s="270">
        <f>IF(C186="",NA(),MATCH($B186&amp;$C186,'Smelter Look-up'!$J:$J,0))</f>
        <v>279</v>
      </c>
      <c r="W186" s="271"/>
      <c r="X186" s="271">
        <f t="shared" si="28"/>
        <v>0</v>
      </c>
      <c r="Y186" s="271"/>
      <c r="Z186" s="271"/>
      <c r="AB186" s="273" t="str">
        <f t="shared" si="29"/>
        <v>GoldTony Goetz NV</v>
      </c>
    </row>
    <row r="187" spans="1:28" s="272" customFormat="1" ht="90.75" customHeight="1">
      <c r="A187" s="363" t="s">
        <v>15381</v>
      </c>
      <c r="B187" s="355" t="s">
        <v>1131</v>
      </c>
      <c r="C187" s="356" t="s">
        <v>15380</v>
      </c>
      <c r="D187" s="357"/>
      <c r="E187" s="355" t="s">
        <v>15669</v>
      </c>
      <c r="F187" s="355" t="s">
        <v>15381</v>
      </c>
      <c r="G187" s="355" t="s">
        <v>13459</v>
      </c>
      <c r="H187" s="358" t="s">
        <v>16321</v>
      </c>
      <c r="I187" s="359" t="s">
        <v>15438</v>
      </c>
      <c r="J187" s="359" t="s">
        <v>13066</v>
      </c>
      <c r="K187" s="360" t="s">
        <v>16322</v>
      </c>
      <c r="L187" s="360" t="s">
        <v>16323</v>
      </c>
      <c r="M187" s="360"/>
      <c r="N187" s="360"/>
      <c r="O187" s="360" t="s">
        <v>16324</v>
      </c>
      <c r="P187" s="361"/>
      <c r="Q187" s="362"/>
      <c r="R187" s="215" t="str">
        <f ca="1">IF(ISERROR($V187),"",OFFSET('Smelter Look-up'!$C$4,$V187-4,0)&amp;"")</f>
        <v>PT Rajehan Ariq</v>
      </c>
      <c r="S187" s="222" t="str">
        <f t="shared" ca="1" si="27"/>
        <v>ID</v>
      </c>
      <c r="T187" s="222" t="str">
        <f ca="1">IF(B187="","",IF(ISERROR(MATCH($J187,SorP!$B$1:$B$6230,0)),"",INDIRECT("'SorP'!$A$"&amp;MATCH($J187,SorP!$B$1:$B$6230,0))))</f>
        <v>ID-BB</v>
      </c>
      <c r="U187" s="238"/>
      <c r="V187" s="270">
        <f>IF(C187="",NA(),MATCH($B187&amp;$C187,'Smelter Look-up'!$J:$J,0))</f>
        <v>486</v>
      </c>
      <c r="W187" s="271"/>
      <c r="X187" s="271">
        <f t="shared" si="28"/>
        <v>0</v>
      </c>
      <c r="Y187" s="271"/>
      <c r="Z187" s="271"/>
      <c r="AB187" s="273" t="str">
        <f t="shared" si="29"/>
        <v>TinPT Rajehan Ariq</v>
      </c>
    </row>
    <row r="188" spans="1:28" s="272" customFormat="1" ht="63.75">
      <c r="A188" s="363" t="s">
        <v>708</v>
      </c>
      <c r="B188" s="355" t="s">
        <v>1130</v>
      </c>
      <c r="C188" s="356" t="s">
        <v>1229</v>
      </c>
      <c r="D188" s="357"/>
      <c r="E188" s="355" t="s">
        <v>15631</v>
      </c>
      <c r="F188" s="355" t="s">
        <v>708</v>
      </c>
      <c r="G188" s="355" t="s">
        <v>13459</v>
      </c>
      <c r="H188" s="358" t="s">
        <v>16325</v>
      </c>
      <c r="I188" s="359" t="s">
        <v>1631</v>
      </c>
      <c r="J188" s="359" t="s">
        <v>1632</v>
      </c>
      <c r="K188" s="360" t="s">
        <v>16261</v>
      </c>
      <c r="L188" s="360" t="s">
        <v>16262</v>
      </c>
      <c r="M188" s="360"/>
      <c r="N188" s="360"/>
      <c r="O188" s="360" t="s">
        <v>16326</v>
      </c>
      <c r="P188" s="361"/>
      <c r="Q188" s="362"/>
      <c r="R188" s="215" t="str">
        <f ca="1">IF(ISERROR($V188),"",OFFSET('Smelter Look-up'!$C$4,$V188-4,0)&amp;"")</f>
        <v>Metalor USA Refining Corporation</v>
      </c>
      <c r="S188" s="222" t="str">
        <f t="shared" ca="1" si="27"/>
        <v>US</v>
      </c>
      <c r="T188" s="222" t="str">
        <f ca="1">IF(B188="","",IF(ISERROR(MATCH($J188,SorP!$B$1:$B$6230,0)),"",INDIRECT("'SorP'!$A$"&amp;MATCH($J188,SorP!$B$1:$B$6230,0))))</f>
        <v>US-MA</v>
      </c>
      <c r="U188" s="238"/>
      <c r="V188" s="270">
        <f>IF(C188="",NA(),MATCH($B188&amp;$C188,'Smelter Look-up'!$J:$J,0))</f>
        <v>172</v>
      </c>
      <c r="W188" s="271"/>
      <c r="X188" s="271">
        <f t="shared" si="28"/>
        <v>0</v>
      </c>
      <c r="Y188" s="271"/>
      <c r="Z188" s="271"/>
      <c r="AB188" s="273" t="str">
        <f t="shared" si="29"/>
        <v>GoldMetalor USA Refining Corporation</v>
      </c>
    </row>
    <row r="189" spans="1:28" s="272" customFormat="1" ht="89.25">
      <c r="A189" s="363" t="s">
        <v>709</v>
      </c>
      <c r="B189" s="355" t="s">
        <v>1130</v>
      </c>
      <c r="C189" s="356" t="s">
        <v>12641</v>
      </c>
      <c r="D189" s="357"/>
      <c r="E189" s="355" t="s">
        <v>15786</v>
      </c>
      <c r="F189" s="355" t="s">
        <v>709</v>
      </c>
      <c r="G189" s="355" t="s">
        <v>13459</v>
      </c>
      <c r="H189" s="358" t="s">
        <v>16327</v>
      </c>
      <c r="I189" s="359" t="s">
        <v>1633</v>
      </c>
      <c r="J189" s="359" t="s">
        <v>13099</v>
      </c>
      <c r="K189" s="360" t="s">
        <v>16328</v>
      </c>
      <c r="L189" s="360" t="s">
        <v>16329</v>
      </c>
      <c r="M189" s="360"/>
      <c r="N189" s="360"/>
      <c r="O189" s="360" t="s">
        <v>16330</v>
      </c>
      <c r="P189" s="361"/>
      <c r="Q189" s="362"/>
      <c r="R189" s="215" t="str">
        <f ca="1">IF(ISERROR($V189),"",OFFSET('Smelter Look-up'!$C$4,$V189-4,0)&amp;"")</f>
        <v>Metalurgica Met-Mex Penoles S.A. De C.V.</v>
      </c>
      <c r="S189" s="222" t="str">
        <f t="shared" ca="1" si="27"/>
        <v>MX</v>
      </c>
      <c r="T189" s="222" t="str">
        <f ca="1">IF(B189="","",IF(ISERROR(MATCH($J189,SorP!$B$1:$B$6230,0)),"",INDIRECT("'SorP'!$A$"&amp;MATCH($J189,SorP!$B$1:$B$6230,0))))</f>
        <v>MX-COA</v>
      </c>
      <c r="U189" s="238"/>
      <c r="V189" s="270">
        <f>IF(C189="",NA(),MATCH($B189&amp;$C189,'Smelter Look-up'!$J:$J,0))</f>
        <v>173</v>
      </c>
      <c r="W189" s="271"/>
      <c r="X189" s="271">
        <f t="shared" si="28"/>
        <v>0</v>
      </c>
      <c r="Y189" s="271"/>
      <c r="Z189" s="271"/>
      <c r="AB189" s="273" t="str">
        <f t="shared" si="29"/>
        <v>GoldMetalurgica Met-Mex Penoles S.A. De C.V.</v>
      </c>
    </row>
    <row r="190" spans="1:28" s="272" customFormat="1" ht="106.5" customHeight="1">
      <c r="A190" s="363" t="s">
        <v>703</v>
      </c>
      <c r="B190" s="355" t="s">
        <v>1130</v>
      </c>
      <c r="C190" s="356" t="s">
        <v>910</v>
      </c>
      <c r="D190" s="357"/>
      <c r="E190" s="355" t="s">
        <v>15631</v>
      </c>
      <c r="F190" s="355" t="s">
        <v>703</v>
      </c>
      <c r="G190" s="355" t="s">
        <v>13459</v>
      </c>
      <c r="H190" s="358" t="s">
        <v>16331</v>
      </c>
      <c r="I190" s="359" t="s">
        <v>1623</v>
      </c>
      <c r="J190" s="359" t="s">
        <v>1624</v>
      </c>
      <c r="K190" s="360" t="s">
        <v>16332</v>
      </c>
      <c r="L190" s="360" t="s">
        <v>16333</v>
      </c>
      <c r="M190" s="360"/>
      <c r="N190" s="360"/>
      <c r="O190" s="360" t="s">
        <v>16334</v>
      </c>
      <c r="P190" s="361"/>
      <c r="Q190" s="362"/>
      <c r="R190" s="215" t="str">
        <f ca="1">IF(ISERROR($V190),"",OFFSET('Smelter Look-up'!$C$4,$V190-4,0)&amp;"")</f>
        <v>Materion</v>
      </c>
      <c r="S190" s="222" t="str">
        <f t="shared" ca="1" si="27"/>
        <v>US</v>
      </c>
      <c r="T190" s="222" t="str">
        <f ca="1">IF(B190="","",IF(ISERROR(MATCH($J190,SorP!$B$1:$B$6230,0)),"",INDIRECT("'SorP'!$A$"&amp;MATCH($J190,SorP!$B$1:$B$6230,0))))</f>
        <v>US-NY</v>
      </c>
      <c r="U190" s="238"/>
      <c r="V190" s="270">
        <f>IF(C190="",NA(),MATCH($B190&amp;$C190,'Smelter Look-up'!$J:$J,0))</f>
        <v>159</v>
      </c>
      <c r="W190" s="271"/>
      <c r="X190" s="271">
        <f t="shared" si="28"/>
        <v>0</v>
      </c>
      <c r="Y190" s="271"/>
      <c r="Z190" s="271"/>
      <c r="AB190" s="273" t="str">
        <f t="shared" si="29"/>
        <v>GoldMaterion</v>
      </c>
    </row>
    <row r="191" spans="1:28" s="272" customFormat="1" ht="87" customHeight="1">
      <c r="A191" s="363" t="s">
        <v>704</v>
      </c>
      <c r="B191" s="355" t="s">
        <v>1130</v>
      </c>
      <c r="C191" s="356" t="s">
        <v>57</v>
      </c>
      <c r="D191" s="357"/>
      <c r="E191" s="355" t="s">
        <v>15641</v>
      </c>
      <c r="F191" s="355" t="s">
        <v>704</v>
      </c>
      <c r="G191" s="355" t="s">
        <v>13459</v>
      </c>
      <c r="H191" s="358" t="s">
        <v>16335</v>
      </c>
      <c r="I191" s="359" t="s">
        <v>1625</v>
      </c>
      <c r="J191" s="359" t="s">
        <v>1587</v>
      </c>
      <c r="K191" s="360" t="s">
        <v>16336</v>
      </c>
      <c r="L191" s="360" t="s">
        <v>16337</v>
      </c>
      <c r="M191" s="360"/>
      <c r="N191" s="360"/>
      <c r="O191" s="360" t="s">
        <v>16338</v>
      </c>
      <c r="P191" s="361"/>
      <c r="Q191" s="362"/>
      <c r="R191" s="215" t="str">
        <f ca="1">IF(ISERROR($V191),"",OFFSET('Smelter Look-up'!$C$4,$V191-4,0)&amp;"")</f>
        <v>Matsuda Sangyo Co., Ltd.</v>
      </c>
      <c r="S191" s="222" t="str">
        <f t="shared" ca="1" si="27"/>
        <v>JP</v>
      </c>
      <c r="T191" s="222" t="str">
        <f ca="1">IF(B191="","",IF(ISERROR(MATCH($J191,SorP!$B$1:$B$6230,0)),"",INDIRECT("'SorP'!$A$"&amp;MATCH($J191,SorP!$B$1:$B$6230,0))))</f>
        <v>JP-11</v>
      </c>
      <c r="U191" s="238"/>
      <c r="V191" s="270">
        <f>IF(C191="",NA(),MATCH($B191&amp;$C191,'Smelter Look-up'!$J:$J,0))</f>
        <v>160</v>
      </c>
      <c r="W191" s="271"/>
      <c r="X191" s="271">
        <f t="shared" si="28"/>
        <v>0</v>
      </c>
      <c r="Y191" s="271"/>
      <c r="Z191" s="271"/>
      <c r="AB191" s="273" t="str">
        <f t="shared" si="29"/>
        <v>GoldMatsuda Sangyo Co., Ltd.</v>
      </c>
    </row>
    <row r="192" spans="1:28" s="272" customFormat="1" ht="89.25">
      <c r="A192" s="363" t="s">
        <v>14102</v>
      </c>
      <c r="B192" s="355" t="s">
        <v>1130</v>
      </c>
      <c r="C192" s="356" t="s">
        <v>14079</v>
      </c>
      <c r="D192" s="357"/>
      <c r="E192" s="355" t="s">
        <v>15641</v>
      </c>
      <c r="F192" s="355" t="s">
        <v>14102</v>
      </c>
      <c r="G192" s="355" t="s">
        <v>13459</v>
      </c>
      <c r="H192" s="358" t="s">
        <v>16339</v>
      </c>
      <c r="I192" s="359" t="s">
        <v>14117</v>
      </c>
      <c r="J192" s="359" t="s">
        <v>1582</v>
      </c>
      <c r="K192" s="360" t="s">
        <v>16254</v>
      </c>
      <c r="L192" s="360" t="s">
        <v>16255</v>
      </c>
      <c r="M192" s="360"/>
      <c r="N192" s="360"/>
      <c r="O192" s="360" t="s">
        <v>15712</v>
      </c>
      <c r="P192" s="361"/>
      <c r="Q192" s="362"/>
      <c r="R192" s="215" t="str">
        <f ca="1">IF(ISERROR($V192),"",OFFSET('Smelter Look-up'!$C$4,$V192-4,0)&amp;"")</f>
        <v>Eco-System Recycling Co., Ltd. North Plant</v>
      </c>
      <c r="S192" s="222" t="str">
        <f t="shared" ca="1" si="27"/>
        <v>JP</v>
      </c>
      <c r="T192" s="222" t="str">
        <f ca="1">IF(B192="","",IF(ISERROR(MATCH($J192,SorP!$B$1:$B$6230,0)),"",INDIRECT("'SorP'!$A$"&amp;MATCH($J192,SorP!$B$1:$B$6230,0))))</f>
        <v>JP-05</v>
      </c>
      <c r="U192" s="238"/>
      <c r="V192" s="270">
        <f>IF(C192="",NA(),MATCH($B192&amp;$C192,'Smelter Look-up'!$J:$J,0))</f>
        <v>71</v>
      </c>
      <c r="W192" s="271"/>
      <c r="X192" s="271">
        <f t="shared" si="28"/>
        <v>0</v>
      </c>
      <c r="Y192" s="271"/>
      <c r="Z192" s="271"/>
      <c r="AB192" s="273" t="str">
        <f t="shared" si="29"/>
        <v>GoldEco-System Recycling Co., Ltd. North Plant</v>
      </c>
    </row>
    <row r="193" spans="1:28" s="272" customFormat="1" ht="89.25">
      <c r="A193" s="363" t="s">
        <v>14103</v>
      </c>
      <c r="B193" s="355" t="s">
        <v>1130</v>
      </c>
      <c r="C193" s="356" t="s">
        <v>14080</v>
      </c>
      <c r="D193" s="357"/>
      <c r="E193" s="355" t="s">
        <v>15641</v>
      </c>
      <c r="F193" s="355" t="s">
        <v>14103</v>
      </c>
      <c r="G193" s="355" t="s">
        <v>13459</v>
      </c>
      <c r="H193" s="358" t="s">
        <v>16340</v>
      </c>
      <c r="I193" s="359" t="s">
        <v>6793</v>
      </c>
      <c r="J193" s="359" t="s">
        <v>6793</v>
      </c>
      <c r="K193" s="360" t="s">
        <v>16254</v>
      </c>
      <c r="L193" s="360" t="s">
        <v>16255</v>
      </c>
      <c r="M193" s="360"/>
      <c r="N193" s="360"/>
      <c r="O193" s="360" t="s">
        <v>15712</v>
      </c>
      <c r="P193" s="361"/>
      <c r="Q193" s="362"/>
      <c r="R193" s="215" t="str">
        <f ca="1">IF(ISERROR($V193),"",OFFSET('Smelter Look-up'!$C$4,$V193-4,0)&amp;"")</f>
        <v>Eco-System Recycling Co., Ltd. West Plant</v>
      </c>
      <c r="S193" s="222" t="str">
        <f t="shared" ca="1" si="27"/>
        <v>JP</v>
      </c>
      <c r="T193" s="222" t="str">
        <f ca="1">IF(B193="","",IF(ISERROR(MATCH($J193,SorP!$B$1:$B$6230,0)),"",INDIRECT("'SorP'!$A$"&amp;MATCH($J193,SorP!$B$1:$B$6230,0))))</f>
        <v>JP-33</v>
      </c>
      <c r="U193" s="238"/>
      <c r="V193" s="270">
        <f>IF(C193="",NA(),MATCH($B193&amp;$C193,'Smelter Look-up'!$J:$J,0))</f>
        <v>72</v>
      </c>
      <c r="W193" s="271"/>
      <c r="X193" s="271">
        <f t="shared" si="28"/>
        <v>0</v>
      </c>
      <c r="Y193" s="271"/>
      <c r="Z193" s="271"/>
      <c r="AB193" s="273" t="str">
        <f t="shared" si="29"/>
        <v>GoldEco-System Recycling Co., Ltd. West Plant</v>
      </c>
    </row>
    <row r="194" spans="1:28" s="272" customFormat="1" ht="103.5" customHeight="1">
      <c r="A194" s="363" t="s">
        <v>14110</v>
      </c>
      <c r="B194" s="355" t="s">
        <v>1133</v>
      </c>
      <c r="C194" s="356" t="s">
        <v>14095</v>
      </c>
      <c r="D194" s="357"/>
      <c r="E194" s="355" t="s">
        <v>15626</v>
      </c>
      <c r="F194" s="355" t="s">
        <v>14110</v>
      </c>
      <c r="G194" s="355" t="s">
        <v>13459</v>
      </c>
      <c r="H194" s="358" t="s">
        <v>16341</v>
      </c>
      <c r="I194" s="359" t="s">
        <v>2542</v>
      </c>
      <c r="J194" s="359" t="s">
        <v>1683</v>
      </c>
      <c r="K194" s="360" t="s">
        <v>16342</v>
      </c>
      <c r="L194" s="360" t="s">
        <v>16343</v>
      </c>
      <c r="M194" s="360"/>
      <c r="N194" s="360"/>
      <c r="O194" s="360" t="s">
        <v>15712</v>
      </c>
      <c r="P194" s="361"/>
      <c r="Q194" s="362"/>
      <c r="R194" s="215" t="str">
        <f ca="1">IF(ISERROR($V194),"",OFFSET('Smelter Look-up'!$C$4,$V194-4,0)&amp;"")</f>
        <v>Albasteel Industria e Comercio de Ligas Para Fundicao Ltd.</v>
      </c>
      <c r="S194" s="222" t="str">
        <f t="shared" ca="1" si="27"/>
        <v>BR</v>
      </c>
      <c r="T194" s="222" t="str">
        <f ca="1">IF(B194="","",IF(ISERROR(MATCH($J194,SorP!$B$1:$B$6230,0)),"",INDIRECT("'SorP'!$A$"&amp;MATCH($J194,SorP!$B$1:$B$6230,0))))</f>
        <v>BR-SP</v>
      </c>
      <c r="U194" s="238"/>
      <c r="V194" s="270">
        <f>IF(C194="",NA(),MATCH($B194&amp;$C194,'Smelter Look-up'!$J:$J,0))</f>
        <v>536</v>
      </c>
      <c r="W194" s="271"/>
      <c r="X194" s="271">
        <f t="shared" si="28"/>
        <v>0</v>
      </c>
      <c r="Y194" s="271"/>
      <c r="Z194" s="271"/>
      <c r="AB194" s="273" t="str">
        <f t="shared" si="29"/>
        <v>TungstenAlbasteel Industria e Comercio de Ligas Para Fundicao Ltd.</v>
      </c>
    </row>
    <row r="195" spans="1:28" s="272" customFormat="1" ht="51">
      <c r="A195" s="363" t="s">
        <v>662</v>
      </c>
      <c r="B195" s="355" t="s">
        <v>1130</v>
      </c>
      <c r="C195" s="356" t="s">
        <v>661</v>
      </c>
      <c r="D195" s="357"/>
      <c r="E195" s="355" t="s">
        <v>15781</v>
      </c>
      <c r="F195" s="355" t="s">
        <v>662</v>
      </c>
      <c r="G195" s="355" t="s">
        <v>13459</v>
      </c>
      <c r="H195" s="358" t="s">
        <v>16344</v>
      </c>
      <c r="I195" s="359" t="s">
        <v>1549</v>
      </c>
      <c r="J195" s="359" t="s">
        <v>1550</v>
      </c>
      <c r="K195" s="360" t="s">
        <v>16345</v>
      </c>
      <c r="L195" s="360" t="s">
        <v>16346</v>
      </c>
      <c r="M195" s="360"/>
      <c r="N195" s="360"/>
      <c r="O195" s="360" t="s">
        <v>16347</v>
      </c>
      <c r="P195" s="361"/>
      <c r="Q195" s="362"/>
      <c r="R195" s="215" t="str">
        <f ca="1">IF(ISERROR($V195),"",OFFSET('Smelter Look-up'!$C$4,$V195-4,0)&amp;"")</f>
        <v>C. Hafner GmbH + Co. KG</v>
      </c>
      <c r="S195" s="222" t="str">
        <f t="shared" ca="1" si="27"/>
        <v>DE</v>
      </c>
      <c r="T195" s="222" t="str">
        <f ca="1">IF(B195="","",IF(ISERROR(MATCH($J195,SorP!$B$1:$B$6230,0)),"",INDIRECT("'SorP'!$A$"&amp;MATCH($J195,SorP!$B$1:$B$6230,0))))</f>
        <v>DE-BW</v>
      </c>
      <c r="U195" s="238"/>
      <c r="V195" s="270">
        <f>IF(C195="",NA(),MATCH($B195&amp;$C195,'Smelter Look-up'!$J:$J,0))</f>
        <v>40</v>
      </c>
      <c r="W195" s="271"/>
      <c r="X195" s="271">
        <f t="shared" si="28"/>
        <v>0</v>
      </c>
      <c r="Y195" s="271"/>
      <c r="Z195" s="271"/>
      <c r="AB195" s="273" t="str">
        <f t="shared" si="29"/>
        <v>GoldC. Hafner GmbH + Co. KG</v>
      </c>
    </row>
    <row r="196" spans="1:28" s="272" customFormat="1" ht="63" customHeight="1">
      <c r="A196" s="363" t="s">
        <v>2541</v>
      </c>
      <c r="B196" s="355" t="s">
        <v>1130</v>
      </c>
      <c r="C196" s="356" t="s">
        <v>2540</v>
      </c>
      <c r="D196" s="357"/>
      <c r="E196" s="355" t="s">
        <v>15626</v>
      </c>
      <c r="F196" s="355" t="s">
        <v>2541</v>
      </c>
      <c r="G196" s="355" t="s">
        <v>13459</v>
      </c>
      <c r="H196" s="358" t="s">
        <v>16348</v>
      </c>
      <c r="I196" s="359" t="s">
        <v>2542</v>
      </c>
      <c r="J196" s="359" t="s">
        <v>1683</v>
      </c>
      <c r="K196" s="360" t="s">
        <v>16349</v>
      </c>
      <c r="L196" s="360" t="s">
        <v>16350</v>
      </c>
      <c r="M196" s="360"/>
      <c r="N196" s="360"/>
      <c r="O196" s="360" t="s">
        <v>16351</v>
      </c>
      <c r="P196" s="361"/>
      <c r="Q196" s="362"/>
      <c r="R196" s="215" t="str">
        <f ca="1">IF(ISERROR($V196),"",OFFSET('Smelter Look-up'!$C$4,$V196-4,0)&amp;"")</f>
        <v>Marsam Metals</v>
      </c>
      <c r="S196" s="222" t="str">
        <f t="shared" ca="1" si="27"/>
        <v>BR</v>
      </c>
      <c r="T196" s="222" t="str">
        <f ca="1">IF(B196="","",IF(ISERROR(MATCH($J196,SorP!$B$1:$B$6230,0)),"",INDIRECT("'SorP'!$A$"&amp;MATCH($J196,SorP!$B$1:$B$6230,0))))</f>
        <v>BR-SP</v>
      </c>
      <c r="U196" s="238"/>
      <c r="V196" s="270">
        <f>IF(C196="",NA(),MATCH($B196&amp;$C196,'Smelter Look-up'!$J:$J,0))</f>
        <v>158</v>
      </c>
      <c r="W196" s="271"/>
      <c r="X196" s="271">
        <f t="shared" si="28"/>
        <v>0</v>
      </c>
      <c r="Y196" s="271"/>
      <c r="Z196" s="271"/>
      <c r="AB196" s="273" t="str">
        <f t="shared" si="29"/>
        <v>GoldMarsam Metals</v>
      </c>
    </row>
    <row r="197" spans="1:28" s="272" customFormat="1" ht="51">
      <c r="A197" s="363" t="s">
        <v>15404</v>
      </c>
      <c r="B197" s="355" t="s">
        <v>1131</v>
      </c>
      <c r="C197" s="356" t="s">
        <v>15403</v>
      </c>
      <c r="D197" s="357"/>
      <c r="E197" s="355" t="s">
        <v>15669</v>
      </c>
      <c r="F197" s="355" t="s">
        <v>15404</v>
      </c>
      <c r="G197" s="355" t="s">
        <v>13459</v>
      </c>
      <c r="H197" s="358" t="s">
        <v>16352</v>
      </c>
      <c r="I197" s="359" t="s">
        <v>15445</v>
      </c>
      <c r="J197" s="359" t="s">
        <v>13066</v>
      </c>
      <c r="K197" s="360" t="s">
        <v>16353</v>
      </c>
      <c r="L197" s="360" t="s">
        <v>16354</v>
      </c>
      <c r="M197" s="360"/>
      <c r="N197" s="360"/>
      <c r="O197" s="360" t="s">
        <v>15712</v>
      </c>
      <c r="P197" s="361"/>
      <c r="Q197" s="362"/>
      <c r="R197" s="215" t="str">
        <f ca="1">IF(ISERROR($V197),"",OFFSET('Smelter Look-up'!$C$4,$V197-4,0)&amp;"")</f>
        <v>PT Rajawali Rimba Perkasa</v>
      </c>
      <c r="S197" s="222" t="str">
        <f t="shared" ca="1" si="27"/>
        <v>ID</v>
      </c>
      <c r="T197" s="222" t="str">
        <f ca="1">IF(B197="","",IF(ISERROR(MATCH($J197,SorP!$B$1:$B$6230,0)),"",INDIRECT("'SorP'!$A$"&amp;MATCH($J197,SorP!$B$1:$B$6230,0))))</f>
        <v>ID-BB</v>
      </c>
      <c r="U197" s="238"/>
      <c r="V197" s="270">
        <f>IF(C197="",NA(),MATCH($B197&amp;$C197,'Smelter Look-up'!$J:$J,0))</f>
        <v>485</v>
      </c>
      <c r="W197" s="271"/>
      <c r="X197" s="271">
        <f t="shared" si="28"/>
        <v>0</v>
      </c>
      <c r="Y197" s="271"/>
      <c r="Z197" s="271"/>
      <c r="AB197" s="273" t="str">
        <f t="shared" si="29"/>
        <v>TinPT Rajawali Rimba Perkasa</v>
      </c>
    </row>
    <row r="198" spans="1:28" s="272" customFormat="1" ht="51">
      <c r="A198" s="363" t="s">
        <v>14009</v>
      </c>
      <c r="B198" s="355" t="s">
        <v>1130</v>
      </c>
      <c r="C198" s="356" t="s">
        <v>14008</v>
      </c>
      <c r="D198" s="357"/>
      <c r="E198" s="355" t="s">
        <v>15958</v>
      </c>
      <c r="F198" s="355" t="s">
        <v>14009</v>
      </c>
      <c r="G198" s="355" t="s">
        <v>13459</v>
      </c>
      <c r="H198" s="358"/>
      <c r="I198" s="359" t="s">
        <v>14065</v>
      </c>
      <c r="J198" s="359" t="s">
        <v>6261</v>
      </c>
      <c r="K198" s="360" t="s">
        <v>16355</v>
      </c>
      <c r="L198" s="360" t="s">
        <v>16356</v>
      </c>
      <c r="M198" s="360"/>
      <c r="N198" s="360"/>
      <c r="O198" s="360" t="s">
        <v>15712</v>
      </c>
      <c r="P198" s="361"/>
      <c r="Q198" s="362"/>
      <c r="R198" s="215" t="str">
        <f ca="1">IF(ISERROR($V198),"",OFFSET('Smelter Look-up'!$C$4,$V198-4,0)&amp;"")</f>
        <v>CGR Metalloys Pvt Ltd.</v>
      </c>
      <c r="S198" s="222" t="str">
        <f t="shared" ca="1" si="27"/>
        <v>IN</v>
      </c>
      <c r="T198" s="222" t="str">
        <f ca="1">IF(B198="","",IF(ISERROR(MATCH($J198,SorP!$B$1:$B$6230,0)),"",INDIRECT("'SorP'!$A$"&amp;MATCH($J198,SorP!$B$1:$B$6230,0))))</f>
        <v>IN-KL</v>
      </c>
      <c r="U198" s="238"/>
      <c r="V198" s="270">
        <f>IF(C198="",NA(),MATCH($B198&amp;$C198,'Smelter Look-up'!$J:$J,0))</f>
        <v>49</v>
      </c>
      <c r="W198" s="271"/>
      <c r="X198" s="271">
        <f t="shared" si="28"/>
        <v>0</v>
      </c>
      <c r="Y198" s="271"/>
      <c r="Z198" s="271"/>
      <c r="AB198" s="273" t="str">
        <f t="shared" si="29"/>
        <v>GoldCGR Metalloys Pvt Ltd.</v>
      </c>
    </row>
    <row r="199" spans="1:28" s="272" customFormat="1" ht="38.25">
      <c r="A199" s="363" t="s">
        <v>14020</v>
      </c>
      <c r="B199" s="355" t="s">
        <v>1130</v>
      </c>
      <c r="C199" s="356" t="s">
        <v>14019</v>
      </c>
      <c r="D199" s="357"/>
      <c r="E199" s="355" t="s">
        <v>15958</v>
      </c>
      <c r="F199" s="355" t="s">
        <v>14020</v>
      </c>
      <c r="G199" s="355" t="s">
        <v>13459</v>
      </c>
      <c r="H199" s="358"/>
      <c r="I199" s="359" t="s">
        <v>15432</v>
      </c>
      <c r="J199" s="359" t="s">
        <v>2323</v>
      </c>
      <c r="K199" s="360" t="s">
        <v>16357</v>
      </c>
      <c r="L199" s="360" t="s">
        <v>16358</v>
      </c>
      <c r="M199" s="360"/>
      <c r="N199" s="360"/>
      <c r="O199" s="360" t="s">
        <v>15712</v>
      </c>
      <c r="P199" s="361"/>
      <c r="Q199" s="362"/>
      <c r="R199" s="215" t="str">
        <f ca="1">IF(ISERROR($V199),"",OFFSET('Smelter Look-up'!$C$4,$V199-4,0)&amp;"")</f>
        <v>Sovereign Metals</v>
      </c>
      <c r="S199" s="222" t="str">
        <f t="shared" ca="1" si="27"/>
        <v>IN</v>
      </c>
      <c r="T199" s="222" t="str">
        <f ca="1">IF(B199="","",IF(ISERROR(MATCH($J199,SorP!$B$1:$B$6230,0)),"",INDIRECT("'SorP'!$A$"&amp;MATCH($J199,SorP!$B$1:$B$6230,0))))</f>
        <v>IN-GJ</v>
      </c>
      <c r="U199" s="238"/>
      <c r="V199" s="270">
        <f>IF(C199="",NA(),MATCH($B199&amp;$C199,'Smelter Look-up'!$J:$J,0))</f>
        <v>255</v>
      </c>
      <c r="W199" s="271"/>
      <c r="X199" s="271">
        <f t="shared" si="28"/>
        <v>0</v>
      </c>
      <c r="Y199" s="271"/>
      <c r="Z199" s="271"/>
      <c r="AB199" s="273" t="str">
        <f t="shared" si="29"/>
        <v>GoldSovereign Metals</v>
      </c>
    </row>
    <row r="200" spans="1:28" s="272" customFormat="1" ht="38.25">
      <c r="A200" s="363" t="s">
        <v>14108</v>
      </c>
      <c r="B200" s="355" t="s">
        <v>1131</v>
      </c>
      <c r="C200" s="356" t="s">
        <v>14093</v>
      </c>
      <c r="D200" s="357"/>
      <c r="E200" s="355" t="s">
        <v>16359</v>
      </c>
      <c r="F200" s="355" t="s">
        <v>14108</v>
      </c>
      <c r="G200" s="355" t="s">
        <v>13459</v>
      </c>
      <c r="H200" s="358" t="s">
        <v>16360</v>
      </c>
      <c r="I200" s="359" t="s">
        <v>14120</v>
      </c>
      <c r="J200" s="359" t="s">
        <v>10275</v>
      </c>
      <c r="K200" s="360" t="s">
        <v>16361</v>
      </c>
      <c r="L200" s="360" t="s">
        <v>16362</v>
      </c>
      <c r="M200" s="360"/>
      <c r="N200" s="360"/>
      <c r="O200" s="360" t="s">
        <v>15712</v>
      </c>
      <c r="P200" s="361"/>
      <c r="Q200" s="362"/>
      <c r="R200" s="215" t="str">
        <f ca="1">IF(ISERROR($V200),"",OFFSET('Smelter Look-up'!$C$4,$V200-4,0)&amp;"")</f>
        <v>Luna Smelter, Ltd.</v>
      </c>
      <c r="S200" s="222" t="str">
        <f t="shared" ca="1" si="27"/>
        <v>RW</v>
      </c>
      <c r="T200" s="222" t="str">
        <f ca="1">IF(B200="","",IF(ISERROR(MATCH($J200,SorP!$B$1:$B$6230,0)),"",INDIRECT("'SorP'!$A$"&amp;MATCH($J200,SorP!$B$1:$B$6230,0))))</f>
        <v>RW-01</v>
      </c>
      <c r="U200" s="238"/>
      <c r="V200" s="270">
        <f>IF(C200="",NA(),MATCH($B200&amp;$C200,'Smelter Look-up'!$J:$J,0))</f>
        <v>446</v>
      </c>
      <c r="W200" s="271"/>
      <c r="X200" s="271">
        <f t="shared" si="28"/>
        <v>0</v>
      </c>
      <c r="Y200" s="271"/>
      <c r="Z200" s="271"/>
      <c r="AB200" s="273" t="str">
        <f t="shared" si="29"/>
        <v>TinLuna Smelter, Ltd.</v>
      </c>
    </row>
    <row r="201" spans="1:28" s="272" customFormat="1" ht="90" customHeight="1">
      <c r="A201" s="363" t="s">
        <v>751</v>
      </c>
      <c r="B201" s="355" t="s">
        <v>1132</v>
      </c>
      <c r="C201" s="356" t="s">
        <v>750</v>
      </c>
      <c r="D201" s="357"/>
      <c r="E201" s="355" t="s">
        <v>15646</v>
      </c>
      <c r="F201" s="355" t="s">
        <v>751</v>
      </c>
      <c r="G201" s="355" t="s">
        <v>13459</v>
      </c>
      <c r="H201" s="358" t="s">
        <v>16363</v>
      </c>
      <c r="I201" s="359" t="s">
        <v>1730</v>
      </c>
      <c r="J201" s="359" t="s">
        <v>13847</v>
      </c>
      <c r="K201" s="360" t="s">
        <v>16364</v>
      </c>
      <c r="L201" s="360" t="s">
        <v>16365</v>
      </c>
      <c r="M201" s="360"/>
      <c r="N201" s="360"/>
      <c r="O201" s="360" t="s">
        <v>16366</v>
      </c>
      <c r="P201" s="361"/>
      <c r="Q201" s="362"/>
      <c r="R201" s="215" t="str">
        <f ca="1">IF(ISERROR($V201),"",OFFSET('Smelter Look-up'!$C$4,$V201-4,0)&amp;"")</f>
        <v>XIMEI RESOURCES (GUANGDONG) LIMITED</v>
      </c>
      <c r="S201" s="222" t="str">
        <f t="shared" ca="1" si="27"/>
        <v>CN</v>
      </c>
      <c r="T201" s="222" t="str">
        <f ca="1">IF(B201="","",IF(ISERROR(MATCH($J201,SorP!$B$1:$B$6230,0)),"",INDIRECT("'SorP'!$A$"&amp;MATCH($J201,SorP!$B$1:$B$6230,0))))</f>
        <v>CN-GD</v>
      </c>
      <c r="U201" s="238"/>
      <c r="V201" s="270">
        <f>IF(C201="",NA(),MATCH($B201&amp;$C201,'Smelter Look-up'!$J:$J,0))</f>
        <v>325</v>
      </c>
      <c r="W201" s="271"/>
      <c r="X201" s="271">
        <f t="shared" si="28"/>
        <v>0</v>
      </c>
      <c r="Y201" s="271"/>
      <c r="Z201" s="271"/>
      <c r="AB201" s="273" t="str">
        <f t="shared" si="29"/>
        <v>TantalumGuangdong Zhiyuan New Material Co., Ltd.</v>
      </c>
    </row>
    <row r="202" spans="1:28" s="272" customFormat="1" ht="51">
      <c r="A202" s="363" t="s">
        <v>2530</v>
      </c>
      <c r="B202" s="355" t="s">
        <v>1130</v>
      </c>
      <c r="C202" s="356" t="s">
        <v>14083</v>
      </c>
      <c r="D202" s="357"/>
      <c r="E202" s="355" t="s">
        <v>15751</v>
      </c>
      <c r="F202" s="355" t="s">
        <v>2530</v>
      </c>
      <c r="G202" s="355" t="s">
        <v>13459</v>
      </c>
      <c r="H202" s="358" t="s">
        <v>16367</v>
      </c>
      <c r="I202" s="359" t="s">
        <v>2531</v>
      </c>
      <c r="J202" s="359" t="s">
        <v>13080</v>
      </c>
      <c r="K202" s="360" t="s">
        <v>16368</v>
      </c>
      <c r="L202" s="360" t="s">
        <v>16369</v>
      </c>
      <c r="M202" s="360"/>
      <c r="N202" s="360"/>
      <c r="O202" s="360" t="s">
        <v>16370</v>
      </c>
      <c r="P202" s="361"/>
      <c r="Q202" s="362"/>
      <c r="R202" s="215" t="str">
        <f ca="1">IF(ISERROR($V202),"",OFFSET('Smelter Look-up'!$C$4,$V202-4,0)&amp;"")</f>
        <v>LT Metal Ltd.</v>
      </c>
      <c r="S202" s="222" t="str">
        <f t="shared" ca="1" si="27"/>
        <v>KR</v>
      </c>
      <c r="T202" s="222" t="str">
        <f ca="1">IF(B202="","",IF(ISERROR(MATCH($J202,SorP!$B$1:$B$6230,0)),"",INDIRECT("'SorP'!$A$"&amp;MATCH($J202,SorP!$B$1:$B$6230,0))))</f>
        <v>KR-28</v>
      </c>
      <c r="U202" s="238"/>
      <c r="V202" s="270">
        <f>IF(C202="",NA(),MATCH($B202&amp;$C202,'Smelter Look-up'!$J:$J,0))</f>
        <v>154</v>
      </c>
      <c r="W202" s="271"/>
      <c r="X202" s="271">
        <f t="shared" si="28"/>
        <v>0</v>
      </c>
      <c r="Y202" s="271"/>
      <c r="Z202" s="271"/>
      <c r="AB202" s="273" t="str">
        <f t="shared" si="29"/>
        <v>GoldLT Metal Ltd.</v>
      </c>
    </row>
    <row r="203" spans="1:28" s="272" customFormat="1" ht="63.75">
      <c r="A203" s="363" t="s">
        <v>15396</v>
      </c>
      <c r="B203" s="355" t="s">
        <v>1131</v>
      </c>
      <c r="C203" s="356" t="s">
        <v>15395</v>
      </c>
      <c r="D203" s="357"/>
      <c r="E203" s="355" t="s">
        <v>15669</v>
      </c>
      <c r="F203" s="355" t="s">
        <v>15396</v>
      </c>
      <c r="G203" s="355" t="s">
        <v>13459</v>
      </c>
      <c r="H203" s="358" t="s">
        <v>16371</v>
      </c>
      <c r="I203" s="359" t="s">
        <v>15441</v>
      </c>
      <c r="J203" s="359" t="s">
        <v>13066</v>
      </c>
      <c r="K203" s="360" t="s">
        <v>16372</v>
      </c>
      <c r="L203" s="360" t="s">
        <v>16373</v>
      </c>
      <c r="M203" s="360"/>
      <c r="N203" s="360"/>
      <c r="O203" s="360" t="s">
        <v>16374</v>
      </c>
      <c r="P203" s="361"/>
      <c r="Q203" s="362"/>
      <c r="R203" s="215" t="str">
        <f ca="1">IF(ISERROR($V203),"",OFFSET('Smelter Look-up'!$C$4,$V203-4,0)&amp;"")</f>
        <v>PT Babel Surya Alam Lestari</v>
      </c>
      <c r="S203" s="222" t="str">
        <f t="shared" ca="1" si="27"/>
        <v>ID</v>
      </c>
      <c r="T203" s="222" t="str">
        <f ca="1">IF(B203="","",IF(ISERROR(MATCH($J203,SorP!$B$1:$B$6230,0)),"",INDIRECT("'SorP'!$A$"&amp;MATCH($J203,SorP!$B$1:$B$6230,0))))</f>
        <v>ID-BB</v>
      </c>
      <c r="U203" s="238"/>
      <c r="V203" s="270">
        <f>IF(C203="",NA(),MATCH($B203&amp;$C203,'Smelter Look-up'!$J:$J,0))</f>
        <v>478</v>
      </c>
      <c r="W203" s="271"/>
      <c r="X203" s="271">
        <f t="shared" si="28"/>
        <v>0</v>
      </c>
      <c r="Y203" s="271"/>
      <c r="Z203" s="271"/>
      <c r="AB203" s="273" t="str">
        <f t="shared" si="29"/>
        <v>TinPT Babel Surya Alam Lestari</v>
      </c>
    </row>
    <row r="204" spans="1:28" s="272" customFormat="1" ht="101.25" customHeight="1">
      <c r="A204" s="363" t="s">
        <v>782</v>
      </c>
      <c r="B204" s="355" t="s">
        <v>1131</v>
      </c>
      <c r="C204" s="356" t="s">
        <v>627</v>
      </c>
      <c r="D204" s="357"/>
      <c r="E204" s="355" t="s">
        <v>15669</v>
      </c>
      <c r="F204" s="355" t="s">
        <v>782</v>
      </c>
      <c r="G204" s="355" t="s">
        <v>13459</v>
      </c>
      <c r="H204" s="358" t="s">
        <v>16375</v>
      </c>
      <c r="I204" s="359" t="s">
        <v>1780</v>
      </c>
      <c r="J204" s="359" t="s">
        <v>13066</v>
      </c>
      <c r="K204" s="360" t="s">
        <v>16376</v>
      </c>
      <c r="L204" s="360" t="s">
        <v>16377</v>
      </c>
      <c r="M204" s="360"/>
      <c r="N204" s="360"/>
      <c r="O204" s="360" t="s">
        <v>16378</v>
      </c>
      <c r="P204" s="361"/>
      <c r="Q204" s="362"/>
      <c r="R204" s="215" t="str">
        <f ca="1">IF(ISERROR($V204),"",OFFSET('Smelter Look-up'!$C$4,$V204-4,0)&amp;"")</f>
        <v>PT Mitra Stania Prima</v>
      </c>
      <c r="S204" s="222" t="str">
        <f t="shared" ca="1" si="27"/>
        <v>ID</v>
      </c>
      <c r="T204" s="222" t="str">
        <f ca="1">IF(B204="","",IF(ISERROR(MATCH($J204,SorP!$B$1:$B$6230,0)),"",INDIRECT("'SorP'!$A$"&amp;MATCH($J204,SorP!$B$1:$B$6230,0))))</f>
        <v>ID-BB</v>
      </c>
      <c r="U204" s="238"/>
      <c r="V204" s="270">
        <f>IF(C204="",NA(),MATCH($B204&amp;$C204,'Smelter Look-up'!$J:$J,0))</f>
        <v>482</v>
      </c>
      <c r="W204" s="271"/>
      <c r="X204" s="271">
        <f t="shared" si="28"/>
        <v>0</v>
      </c>
      <c r="Y204" s="271"/>
      <c r="Z204" s="271"/>
      <c r="AB204" s="273" t="str">
        <f t="shared" si="29"/>
        <v>TinPT Mitra Stania Prima</v>
      </c>
    </row>
    <row r="205" spans="1:28" s="272" customFormat="1" ht="72.75" customHeight="1">
      <c r="A205" s="363" t="s">
        <v>789</v>
      </c>
      <c r="B205" s="355" t="s">
        <v>1131</v>
      </c>
      <c r="C205" s="356" t="s">
        <v>2566</v>
      </c>
      <c r="D205" s="357"/>
      <c r="E205" s="355" t="s">
        <v>15626</v>
      </c>
      <c r="F205" s="355" t="s">
        <v>789</v>
      </c>
      <c r="G205" s="355" t="s">
        <v>13459</v>
      </c>
      <c r="H205" s="358" t="s">
        <v>16379</v>
      </c>
      <c r="I205" s="359" t="s">
        <v>1779</v>
      </c>
      <c r="J205" s="359" t="s">
        <v>1783</v>
      </c>
      <c r="K205" s="360" t="s">
        <v>16380</v>
      </c>
      <c r="L205" s="360" t="s">
        <v>16381</v>
      </c>
      <c r="M205" s="360"/>
      <c r="N205" s="360"/>
      <c r="O205" s="360" t="s">
        <v>16382</v>
      </c>
      <c r="P205" s="361"/>
      <c r="Q205" s="362"/>
      <c r="R205" s="215" t="str">
        <f ca="1">IF(ISERROR($V205),"",OFFSET('Smelter Look-up'!$C$4,$V205-4,0)&amp;"")</f>
        <v>White Solder Metalurgia e Mineracao Ltda.</v>
      </c>
      <c r="S205" s="222" t="str">
        <f t="shared" ca="1" si="27"/>
        <v>BR</v>
      </c>
      <c r="T205" s="222" t="str">
        <f ca="1">IF(B205="","",IF(ISERROR(MATCH($J205,SorP!$B$1:$B$6230,0)),"",INDIRECT("'SorP'!$A$"&amp;MATCH($J205,SorP!$B$1:$B$6230,0))))</f>
        <v>BR-RO</v>
      </c>
      <c r="U205" s="238"/>
      <c r="V205" s="270">
        <f>IF(C205="",NA(),MATCH($B205&amp;$C205,'Smelter Look-up'!$J:$J,0))</f>
        <v>512</v>
      </c>
      <c r="W205" s="271"/>
      <c r="X205" s="271">
        <f t="shared" si="28"/>
        <v>0</v>
      </c>
      <c r="Y205" s="271"/>
      <c r="Z205" s="271"/>
      <c r="AB205" s="273" t="str">
        <f t="shared" si="29"/>
        <v>TinWhite Solder Metalurgia e Mineracao Ltda.</v>
      </c>
    </row>
    <row r="206" spans="1:28" s="272" customFormat="1" ht="76.5" customHeight="1">
      <c r="A206" s="363" t="s">
        <v>727</v>
      </c>
      <c r="B206" s="355" t="s">
        <v>1130</v>
      </c>
      <c r="C206" s="356" t="s">
        <v>12645</v>
      </c>
      <c r="D206" s="357"/>
      <c r="E206" s="355" t="s">
        <v>16383</v>
      </c>
      <c r="F206" s="355" t="s">
        <v>727</v>
      </c>
      <c r="G206" s="355" t="s">
        <v>13459</v>
      </c>
      <c r="H206" s="358" t="s">
        <v>16384</v>
      </c>
      <c r="I206" s="359" t="s">
        <v>1659</v>
      </c>
      <c r="J206" s="359" t="s">
        <v>4719</v>
      </c>
      <c r="K206" s="360" t="s">
        <v>16385</v>
      </c>
      <c r="L206" s="360" t="s">
        <v>16386</v>
      </c>
      <c r="M206" s="360"/>
      <c r="N206" s="360"/>
      <c r="O206" s="360" t="s">
        <v>16387</v>
      </c>
      <c r="P206" s="361"/>
      <c r="Q206" s="362"/>
      <c r="R206" s="215" t="str">
        <f ca="1">IF(ISERROR($V206),"",OFFSET('Smelter Look-up'!$C$4,$V206-4,0)&amp;"")</f>
        <v>SEMPSA Joyeria Plateria S.A.</v>
      </c>
      <c r="S206" s="222" t="str">
        <f t="shared" ca="1" si="27"/>
        <v>ES</v>
      </c>
      <c r="T206" s="222" t="str">
        <f ca="1">IF(B206="","",IF(ISERROR(MATCH($J206,SorP!$B$1:$B$6230,0)),"",INDIRECT("'SorP'!$A$"&amp;MATCH($J206,SorP!$B$1:$B$6230,0))))</f>
        <v>ES-MD</v>
      </c>
      <c r="U206" s="238"/>
      <c r="V206" s="270">
        <f>IF(C206="",NA(),MATCH($B206&amp;$C206,'Smelter Look-up'!$J:$J,0))</f>
        <v>229</v>
      </c>
      <c r="W206" s="271"/>
      <c r="X206" s="271">
        <f t="shared" si="28"/>
        <v>0</v>
      </c>
      <c r="Y206" s="271"/>
      <c r="Z206" s="271"/>
      <c r="AB206" s="273" t="str">
        <f t="shared" si="29"/>
        <v>GoldSEMPSA Joyeria Plateria S.A.</v>
      </c>
    </row>
    <row r="207" spans="1:28" s="272" customFormat="1" ht="89.25">
      <c r="A207" s="363" t="s">
        <v>733</v>
      </c>
      <c r="B207" s="355" t="s">
        <v>1130</v>
      </c>
      <c r="C207" s="356" t="s">
        <v>2235</v>
      </c>
      <c r="D207" s="357"/>
      <c r="E207" s="355" t="s">
        <v>15646</v>
      </c>
      <c r="F207" s="355" t="s">
        <v>733</v>
      </c>
      <c r="G207" s="355" t="s">
        <v>13459</v>
      </c>
      <c r="H207" s="358" t="s">
        <v>16388</v>
      </c>
      <c r="I207" s="359" t="s">
        <v>1667</v>
      </c>
      <c r="J207" s="359" t="s">
        <v>13849</v>
      </c>
      <c r="K207" s="360" t="s">
        <v>16389</v>
      </c>
      <c r="L207" s="360" t="s">
        <v>16390</v>
      </c>
      <c r="M207" s="360"/>
      <c r="N207" s="360"/>
      <c r="O207" s="360" t="s">
        <v>16391</v>
      </c>
      <c r="P207" s="361"/>
      <c r="Q207" s="362"/>
      <c r="R207" s="215" t="str">
        <f ca="1">IF(ISERROR($V207),"",OFFSET('Smelter Look-up'!$C$4,$V207-4,0)&amp;"")</f>
        <v>Great Wall Precious Metals Co., Ltd. of CBPM</v>
      </c>
      <c r="S207" s="222" t="str">
        <f t="shared" ca="1" si="27"/>
        <v>CN</v>
      </c>
      <c r="T207" s="222" t="str">
        <f ca="1">IF(B207="","",IF(ISERROR(MATCH($J207,SorP!$B$1:$B$6230,0)),"",INDIRECT("'SorP'!$A$"&amp;MATCH($J207,SorP!$B$1:$B$6230,0))))</f>
        <v>CN-SC</v>
      </c>
      <c r="U207" s="238"/>
      <c r="V207" s="270">
        <f>IF(C207="",NA(),MATCH($B207&amp;$C207,'Smelter Look-up'!$J:$J,0))</f>
        <v>90</v>
      </c>
      <c r="W207" s="271"/>
      <c r="X207" s="271">
        <f t="shared" si="28"/>
        <v>0</v>
      </c>
      <c r="Y207" s="271"/>
      <c r="Z207" s="271"/>
      <c r="AB207" s="273" t="str">
        <f t="shared" si="29"/>
        <v>GoldGreat Wall Precious Metals Co., Ltd. of CBPM</v>
      </c>
    </row>
    <row r="208" spans="1:28" s="272" customFormat="1" ht="103.5" customHeight="1">
      <c r="A208" s="363" t="s">
        <v>794</v>
      </c>
      <c r="B208" s="355" t="s">
        <v>1133</v>
      </c>
      <c r="C208" s="356" t="s">
        <v>1380</v>
      </c>
      <c r="D208" s="357"/>
      <c r="E208" s="355" t="s">
        <v>15646</v>
      </c>
      <c r="F208" s="355" t="s">
        <v>794</v>
      </c>
      <c r="G208" s="355" t="s">
        <v>13459</v>
      </c>
      <c r="H208" s="358" t="s">
        <v>16392</v>
      </c>
      <c r="I208" s="359" t="s">
        <v>1839</v>
      </c>
      <c r="J208" s="359" t="s">
        <v>13847</v>
      </c>
      <c r="K208" s="360" t="s">
        <v>16393</v>
      </c>
      <c r="L208" s="360" t="s">
        <v>16394</v>
      </c>
      <c r="M208" s="360"/>
      <c r="N208" s="360"/>
      <c r="O208" s="360" t="s">
        <v>16395</v>
      </c>
      <c r="P208" s="361"/>
      <c r="Q208" s="362"/>
      <c r="R208" s="215" t="str">
        <f ca="1">IF(ISERROR($V208),"",OFFSET('Smelter Look-up'!$C$4,$V208-4,0)&amp;"")</f>
        <v>Guangdong Xianglu Tungsten Co., Ltd.</v>
      </c>
      <c r="S208" s="222" t="str">
        <f t="shared" ca="1" si="27"/>
        <v>CN</v>
      </c>
      <c r="T208" s="222" t="str">
        <f ca="1">IF(B208="","",IF(ISERROR(MATCH($J208,SorP!$B$1:$B$6230,0)),"",INDIRECT("'SorP'!$A$"&amp;MATCH($J208,SorP!$B$1:$B$6230,0))))</f>
        <v>CN-GD</v>
      </c>
      <c r="U208" s="238"/>
      <c r="V208" s="270">
        <f>IF(C208="",NA(),MATCH($B208&amp;$C208,'Smelter Look-up'!$J:$J,0))</f>
        <v>562</v>
      </c>
      <c r="W208" s="271"/>
      <c r="X208" s="271">
        <f t="shared" si="28"/>
        <v>0</v>
      </c>
      <c r="Y208" s="271"/>
      <c r="Z208" s="271"/>
      <c r="AB208" s="273" t="str">
        <f t="shared" si="29"/>
        <v>TungstenGuangdong Xianglu Tungsten Co., Ltd.</v>
      </c>
    </row>
    <row r="209" spans="1:28" s="272" customFormat="1" ht="76.5">
      <c r="A209" s="363" t="s">
        <v>14041</v>
      </c>
      <c r="B209" s="355" t="s">
        <v>1133</v>
      </c>
      <c r="C209" s="356" t="s">
        <v>2159</v>
      </c>
      <c r="D209" s="357"/>
      <c r="E209" s="355" t="s">
        <v>15646</v>
      </c>
      <c r="F209" s="355" t="s">
        <v>14041</v>
      </c>
      <c r="G209" s="355" t="s">
        <v>13459</v>
      </c>
      <c r="H209" s="358"/>
      <c r="I209" s="359" t="s">
        <v>1772</v>
      </c>
      <c r="J209" s="359" t="s">
        <v>13826</v>
      </c>
      <c r="K209" s="360"/>
      <c r="L209" s="360"/>
      <c r="M209" s="360"/>
      <c r="N209" s="360"/>
      <c r="O209" s="360" t="s">
        <v>15712</v>
      </c>
      <c r="P209" s="361"/>
      <c r="Q209" s="362"/>
      <c r="R209" s="215" t="str">
        <f ca="1">IF(ISERROR($V209),"",OFFSET('Smelter Look-up'!$C$4,$V209-4,0)&amp;"")</f>
        <v>CNMC (Guangxi) PGMA Co., Ltd.</v>
      </c>
      <c r="S209" s="222" t="str">
        <f t="shared" ref="S209:S239" ca="1" si="30">IF(B209="","",IF(ISERROR(MATCH($E209,CL,0)),"Unknown",INDIRECT("'C'!$A$"&amp;MATCH($E209,CL,0)+1)))</f>
        <v>CN</v>
      </c>
      <c r="T209" s="222" t="str">
        <f ca="1">IF(B209="","",IF(ISERROR(MATCH($J209,SorP!$B$1:$B$6230,0)),"",INDIRECT("'SorP'!$A$"&amp;MATCH($J209,SorP!$B$1:$B$6230,0))))</f>
        <v>CN-GX</v>
      </c>
      <c r="U209" s="238"/>
      <c r="V209" s="270">
        <f>IF(C209="",NA(),MATCH($B209&amp;$C209,'Smelter Look-up'!$J:$J,0))</f>
        <v>551</v>
      </c>
      <c r="W209" s="271"/>
      <c r="X209" s="271">
        <f t="shared" ref="X209:X239" si="31">IF(AND(C209="Smelter not listed",OR(LEN(D209)=0,LEN(E209)=0)),1,0)</f>
        <v>0</v>
      </c>
      <c r="Y209" s="271"/>
      <c r="Z209" s="271"/>
      <c r="AB209" s="273" t="str">
        <f t="shared" ref="AB209:AB239" si="32">B209&amp;C209</f>
        <v>TungstenCNMC (Guangxi) PGMA Co., Ltd.</v>
      </c>
    </row>
    <row r="210" spans="1:28" s="272" customFormat="1" ht="109.5" customHeight="1">
      <c r="A210" s="363" t="s">
        <v>799</v>
      </c>
      <c r="B210" s="355" t="s">
        <v>1133</v>
      </c>
      <c r="C210" s="356" t="s">
        <v>1382</v>
      </c>
      <c r="D210" s="357"/>
      <c r="E210" s="355" t="s">
        <v>15641</v>
      </c>
      <c r="F210" s="355" t="s">
        <v>799</v>
      </c>
      <c r="G210" s="355" t="s">
        <v>13459</v>
      </c>
      <c r="H210" s="358" t="s">
        <v>16396</v>
      </c>
      <c r="I210" s="359" t="s">
        <v>2151</v>
      </c>
      <c r="J210" s="359" t="s">
        <v>1582</v>
      </c>
      <c r="K210" s="360" t="s">
        <v>16397</v>
      </c>
      <c r="L210" s="360" t="s">
        <v>16398</v>
      </c>
      <c r="M210" s="360"/>
      <c r="N210" s="360"/>
      <c r="O210" s="360" t="s">
        <v>16399</v>
      </c>
      <c r="P210" s="361"/>
      <c r="Q210" s="362"/>
      <c r="R210" s="215" t="str">
        <f ca="1">IF(ISERROR($V210),"",OFFSET('Smelter Look-up'!$C$4,$V210-4,0)&amp;"")</f>
        <v>Japan New Metals Co., Ltd.</v>
      </c>
      <c r="S210" s="222" t="str">
        <f t="shared" ca="1" si="30"/>
        <v>JP</v>
      </c>
      <c r="T210" s="222" t="str">
        <f ca="1">IF(B210="","",IF(ISERROR(MATCH($J210,SorP!$B$1:$B$6230,0)),"",INDIRECT("'SorP'!$A$"&amp;MATCH($J210,SorP!$B$1:$B$6230,0))))</f>
        <v>JP-05</v>
      </c>
      <c r="U210" s="238"/>
      <c r="V210" s="270">
        <f>IF(C210="",NA(),MATCH($B210&amp;$C210,'Smelter Look-up'!$J:$J,0))</f>
        <v>572</v>
      </c>
      <c r="W210" s="271"/>
      <c r="X210" s="271">
        <f t="shared" si="31"/>
        <v>0</v>
      </c>
      <c r="Y210" s="271"/>
      <c r="Z210" s="271"/>
      <c r="AB210" s="273" t="str">
        <f t="shared" si="32"/>
        <v>TungstenJapan New Metals Co., Ltd.</v>
      </c>
    </row>
    <row r="211" spans="1:28" s="272" customFormat="1" ht="89.25">
      <c r="A211" s="363" t="s">
        <v>710</v>
      </c>
      <c r="B211" s="355" t="s">
        <v>1130</v>
      </c>
      <c r="C211" s="356" t="s">
        <v>1164</v>
      </c>
      <c r="D211" s="357"/>
      <c r="E211" s="355" t="s">
        <v>15641</v>
      </c>
      <c r="F211" s="355" t="s">
        <v>710</v>
      </c>
      <c r="G211" s="355" t="s">
        <v>13459</v>
      </c>
      <c r="H211" s="358" t="s">
        <v>16400</v>
      </c>
      <c r="I211" s="359" t="s">
        <v>1548</v>
      </c>
      <c r="J211" s="359" t="s">
        <v>1548</v>
      </c>
      <c r="K211" s="360" t="s">
        <v>16401</v>
      </c>
      <c r="L211" s="360" t="s">
        <v>16402</v>
      </c>
      <c r="M211" s="360"/>
      <c r="N211" s="360"/>
      <c r="O211" s="360" t="s">
        <v>16403</v>
      </c>
      <c r="P211" s="361"/>
      <c r="Q211" s="362"/>
      <c r="R211" s="215" t="str">
        <f ca="1">IF(ISERROR($V211),"",OFFSET('Smelter Look-up'!$C$4,$V211-4,0)&amp;"")</f>
        <v>Mitsubishi Materials Corporation</v>
      </c>
      <c r="S211" s="222" t="str">
        <f t="shared" ca="1" si="30"/>
        <v>JP</v>
      </c>
      <c r="T211" s="222" t="str">
        <f ca="1">IF(B211="","",IF(ISERROR(MATCH($J211,SorP!$B$1:$B$6230,0)),"",INDIRECT("'SorP'!$A$"&amp;MATCH($J211,SorP!$B$1:$B$6230,0))))</f>
        <v>JP-13</v>
      </c>
      <c r="U211" s="238"/>
      <c r="V211" s="270">
        <f>IF(C211="",NA(),MATCH($B211&amp;$C211,'Smelter Look-up'!$J:$J,0))</f>
        <v>177</v>
      </c>
      <c r="W211" s="271"/>
      <c r="X211" s="271">
        <f t="shared" si="31"/>
        <v>0</v>
      </c>
      <c r="Y211" s="271"/>
      <c r="Z211" s="271"/>
      <c r="AB211" s="273" t="str">
        <f t="shared" si="32"/>
        <v>GoldMitsubishi Materials Corporation</v>
      </c>
    </row>
    <row r="212" spans="1:28" s="272" customFormat="1" ht="76.5">
      <c r="A212" s="363" t="s">
        <v>777</v>
      </c>
      <c r="B212" s="355" t="s">
        <v>1131</v>
      </c>
      <c r="C212" s="356" t="s">
        <v>1164</v>
      </c>
      <c r="D212" s="357"/>
      <c r="E212" s="355" t="s">
        <v>15641</v>
      </c>
      <c r="F212" s="355" t="s">
        <v>777</v>
      </c>
      <c r="G212" s="355" t="s">
        <v>13459</v>
      </c>
      <c r="H212" s="358" t="s">
        <v>16400</v>
      </c>
      <c r="I212" s="359" t="s">
        <v>1548</v>
      </c>
      <c r="J212" s="359" t="s">
        <v>1548</v>
      </c>
      <c r="K212" s="360" t="s">
        <v>16401</v>
      </c>
      <c r="L212" s="360" t="s">
        <v>16402</v>
      </c>
      <c r="M212" s="360"/>
      <c r="N212" s="360"/>
      <c r="O212" s="360" t="s">
        <v>16404</v>
      </c>
      <c r="P212" s="361"/>
      <c r="Q212" s="362"/>
      <c r="R212" s="215" t="str">
        <f ca="1">IF(ISERROR($V212),"",OFFSET('Smelter Look-up'!$C$4,$V212-4,0)&amp;"")</f>
        <v>Mitsubishi Materials Corporation</v>
      </c>
      <c r="S212" s="222" t="str">
        <f t="shared" ca="1" si="30"/>
        <v>JP</v>
      </c>
      <c r="T212" s="222" t="str">
        <f ca="1">IF(B212="","",IF(ISERROR(MATCH($J212,SorP!$B$1:$B$6230,0)),"",INDIRECT("'SorP'!$A$"&amp;MATCH($J212,SorP!$B$1:$B$6230,0))))</f>
        <v>JP-13</v>
      </c>
      <c r="U212" s="238"/>
      <c r="V212" s="270">
        <f>IF(C212="",NA(),MATCH($B212&amp;$C212,'Smelter Look-up'!$J:$J,0))</f>
        <v>461</v>
      </c>
      <c r="W212" s="271"/>
      <c r="X212" s="271">
        <f t="shared" si="31"/>
        <v>0</v>
      </c>
      <c r="Y212" s="271"/>
      <c r="Z212" s="271"/>
      <c r="AB212" s="273" t="str">
        <f t="shared" si="32"/>
        <v>TinMitsubishi Materials Corporation</v>
      </c>
    </row>
    <row r="213" spans="1:28" s="272" customFormat="1" ht="55.5" customHeight="1">
      <c r="A213" s="363" t="s">
        <v>802</v>
      </c>
      <c r="B213" s="355" t="s">
        <v>1133</v>
      </c>
      <c r="C213" s="356" t="s">
        <v>2575</v>
      </c>
      <c r="D213" s="357"/>
      <c r="E213" s="355" t="s">
        <v>16405</v>
      </c>
      <c r="F213" s="355" t="s">
        <v>802</v>
      </c>
      <c r="G213" s="355" t="s">
        <v>13459</v>
      </c>
      <c r="H213" s="358" t="s">
        <v>16406</v>
      </c>
      <c r="I213" s="359" t="s">
        <v>1845</v>
      </c>
      <c r="J213" s="359" t="s">
        <v>2847</v>
      </c>
      <c r="K213" s="360" t="s">
        <v>16407</v>
      </c>
      <c r="L213" s="360" t="s">
        <v>16408</v>
      </c>
      <c r="M213" s="360"/>
      <c r="N213" s="360"/>
      <c r="O213" s="360" t="s">
        <v>16409</v>
      </c>
      <c r="P213" s="361"/>
      <c r="Q213" s="362"/>
      <c r="R213" s="215" t="str">
        <f ca="1">IF(ISERROR($V213),"",OFFSET('Smelter Look-up'!$C$4,$V213-4,0)&amp;"")</f>
        <v>Wolfram Bergbau und Hutten AG</v>
      </c>
      <c r="S213" s="222" t="str">
        <f t="shared" ca="1" si="30"/>
        <v>AT</v>
      </c>
      <c r="T213" s="222" t="str">
        <f ca="1">IF(B213="","",IF(ISERROR(MATCH($J213,SorP!$B$1:$B$6230,0)),"",INDIRECT("'SorP'!$A$"&amp;MATCH($J213,SorP!$B$1:$B$6230,0))))</f>
        <v>AT-6</v>
      </c>
      <c r="U213" s="238"/>
      <c r="V213" s="270">
        <f>IF(C213="",NA(),MATCH($B213&amp;$C213,'Smelter Look-up'!$J:$J,0))</f>
        <v>600</v>
      </c>
      <c r="W213" s="271"/>
      <c r="X213" s="271">
        <f t="shared" si="31"/>
        <v>0</v>
      </c>
      <c r="Y213" s="271"/>
      <c r="Z213" s="271"/>
      <c r="AB213" s="273" t="str">
        <f t="shared" si="32"/>
        <v>TungstenWolfram Bergbau und Hutten AG</v>
      </c>
    </row>
    <row r="214" spans="1:28" s="272" customFormat="1" ht="68.25" customHeight="1">
      <c r="A214" s="363" t="s">
        <v>141</v>
      </c>
      <c r="B214" s="355" t="s">
        <v>1133</v>
      </c>
      <c r="C214" s="356" t="s">
        <v>152</v>
      </c>
      <c r="D214" s="357"/>
      <c r="E214" s="355" t="s">
        <v>15646</v>
      </c>
      <c r="F214" s="355" t="s">
        <v>141</v>
      </c>
      <c r="G214" s="355" t="s">
        <v>13459</v>
      </c>
      <c r="H214" s="358" t="s">
        <v>16410</v>
      </c>
      <c r="I214" s="359" t="s">
        <v>1787</v>
      </c>
      <c r="J214" s="359" t="s">
        <v>13842</v>
      </c>
      <c r="K214" s="360" t="s">
        <v>16411</v>
      </c>
      <c r="L214" s="360" t="s">
        <v>16412</v>
      </c>
      <c r="M214" s="360"/>
      <c r="N214" s="360"/>
      <c r="O214" s="360" t="s">
        <v>16413</v>
      </c>
      <c r="P214" s="361"/>
      <c r="Q214" s="362"/>
      <c r="R214" s="215" t="str">
        <f ca="1">IF(ISERROR($V214),"",OFFSET('Smelter Look-up'!$C$4,$V214-4,0)&amp;"")</f>
        <v>Jiangxi Yaosheng Tungsten Co., Ltd.</v>
      </c>
      <c r="S214" s="222" t="str">
        <f t="shared" ca="1" si="30"/>
        <v>CN</v>
      </c>
      <c r="T214" s="222" t="str">
        <f ca="1">IF(B214="","",IF(ISERROR(MATCH($J214,SorP!$B$1:$B$6230,0)),"",INDIRECT("'SorP'!$A$"&amp;MATCH($J214,SorP!$B$1:$B$6230,0))))</f>
        <v>CN-JX</v>
      </c>
      <c r="U214" s="238"/>
      <c r="V214" s="270">
        <f>IF(C214="",NA(),MATCH($B214&amp;$C214,'Smelter Look-up'!$J:$J,0))</f>
        <v>580</v>
      </c>
      <c r="W214" s="271"/>
      <c r="X214" s="271">
        <f t="shared" si="31"/>
        <v>0</v>
      </c>
      <c r="Y214" s="271"/>
      <c r="Z214" s="271"/>
      <c r="AB214" s="273" t="str">
        <f t="shared" si="32"/>
        <v>TungstenJiangxi Yaosheng Tungsten Co., Ltd.</v>
      </c>
    </row>
    <row r="215" spans="1:28" s="272" customFormat="1" ht="63.75">
      <c r="A215" s="363" t="s">
        <v>147</v>
      </c>
      <c r="B215" s="355" t="s">
        <v>1130</v>
      </c>
      <c r="C215" s="356" t="s">
        <v>146</v>
      </c>
      <c r="D215" s="357"/>
      <c r="E215" s="355" t="s">
        <v>15841</v>
      </c>
      <c r="F215" s="355" t="s">
        <v>147</v>
      </c>
      <c r="G215" s="355" t="s">
        <v>13459</v>
      </c>
      <c r="H215" s="358" t="s">
        <v>16414</v>
      </c>
      <c r="I215" s="359" t="s">
        <v>12619</v>
      </c>
      <c r="J215" s="359" t="s">
        <v>11265</v>
      </c>
      <c r="K215" s="360" t="s">
        <v>16415</v>
      </c>
      <c r="L215" s="360" t="s">
        <v>16416</v>
      </c>
      <c r="M215" s="360"/>
      <c r="N215" s="360"/>
      <c r="O215" s="360" t="s">
        <v>16417</v>
      </c>
      <c r="P215" s="361"/>
      <c r="Q215" s="362"/>
      <c r="R215" s="215" t="str">
        <f ca="1">IF(ISERROR($V215),"",OFFSET('Smelter Look-up'!$C$4,$V215-4,0)&amp;"")</f>
        <v>Umicore Precious Metals Thailand</v>
      </c>
      <c r="S215" s="222" t="str">
        <f t="shared" ca="1" si="30"/>
        <v>TH</v>
      </c>
      <c r="T215" s="222" t="str">
        <f ca="1">IF(B215="","",IF(ISERROR(MATCH($J215,SorP!$B$1:$B$6230,0)),"",INDIRECT("'SorP'!$A$"&amp;MATCH($J215,SorP!$B$1:$B$6230,0))))</f>
        <v>TH-10</v>
      </c>
      <c r="U215" s="238"/>
      <c r="V215" s="270">
        <f>IF(C215="",NA(),MATCH($B215&amp;$C215,'Smelter Look-up'!$J:$J,0))</f>
        <v>285</v>
      </c>
      <c r="W215" s="271"/>
      <c r="X215" s="271">
        <f t="shared" si="31"/>
        <v>0</v>
      </c>
      <c r="Y215" s="271"/>
      <c r="Z215" s="271"/>
      <c r="AB215" s="273" t="str">
        <f t="shared" si="32"/>
        <v>GoldUmicore Precious Metals Thailand</v>
      </c>
    </row>
    <row r="216" spans="1:28" s="272" customFormat="1" ht="63.75">
      <c r="A216" s="363" t="s">
        <v>773</v>
      </c>
      <c r="B216" s="355" t="s">
        <v>1131</v>
      </c>
      <c r="C216" s="356" t="s">
        <v>1327</v>
      </c>
      <c r="D216" s="357"/>
      <c r="E216" s="355" t="s">
        <v>15646</v>
      </c>
      <c r="F216" s="355" t="s">
        <v>773</v>
      </c>
      <c r="G216" s="355" t="s">
        <v>13459</v>
      </c>
      <c r="H216" s="358" t="s">
        <v>16418</v>
      </c>
      <c r="I216" s="359" t="s">
        <v>1789</v>
      </c>
      <c r="J216" s="359" t="s">
        <v>13826</v>
      </c>
      <c r="K216" s="360" t="s">
        <v>16419</v>
      </c>
      <c r="L216" s="360" t="s">
        <v>16420</v>
      </c>
      <c r="M216" s="360"/>
      <c r="N216" s="360"/>
      <c r="O216" s="360" t="s">
        <v>16421</v>
      </c>
      <c r="P216" s="361"/>
      <c r="Q216" s="362"/>
      <c r="R216" s="215" t="str">
        <f ca="1">IF(ISERROR($V216),"",OFFSET('Smelter Look-up'!$C$4,$V216-4,0)&amp;"")</f>
        <v>China Tin Group Co., Ltd.</v>
      </c>
      <c r="S216" s="222" t="str">
        <f t="shared" ca="1" si="30"/>
        <v>CN</v>
      </c>
      <c r="T216" s="222" t="str">
        <f ca="1">IF(B216="","",IF(ISERROR(MATCH($J216,SorP!$B$1:$B$6230,0)),"",INDIRECT("'SorP'!$A$"&amp;MATCH($J216,SorP!$B$1:$B$6230,0))))</f>
        <v>CN-GX</v>
      </c>
      <c r="U216" s="238"/>
      <c r="V216" s="270">
        <f>IF(C216="",NA(),MATCH($B216&amp;$C216,'Smelter Look-up'!$J:$J,0))</f>
        <v>395</v>
      </c>
      <c r="W216" s="271"/>
      <c r="X216" s="271">
        <f t="shared" si="31"/>
        <v>0</v>
      </c>
      <c r="Y216" s="271"/>
      <c r="Z216" s="271"/>
      <c r="AB216" s="273" t="str">
        <f t="shared" si="32"/>
        <v>TinChina Tin Group Co., Ltd.</v>
      </c>
    </row>
    <row r="217" spans="1:28" s="272" customFormat="1" ht="99.75" customHeight="1">
      <c r="A217" s="363" t="s">
        <v>754</v>
      </c>
      <c r="B217" s="355" t="s">
        <v>1132</v>
      </c>
      <c r="C217" s="356" t="s">
        <v>47</v>
      </c>
      <c r="D217" s="357"/>
      <c r="E217" s="355" t="s">
        <v>15626</v>
      </c>
      <c r="F217" s="355" t="s">
        <v>754</v>
      </c>
      <c r="G217" s="355" t="s">
        <v>13459</v>
      </c>
      <c r="H217" s="358" t="s">
        <v>16422</v>
      </c>
      <c r="I217" s="359" t="s">
        <v>1732</v>
      </c>
      <c r="J217" s="359" t="s">
        <v>1554</v>
      </c>
      <c r="K217" s="360" t="s">
        <v>16423</v>
      </c>
      <c r="L217" s="360" t="s">
        <v>16424</v>
      </c>
      <c r="M217" s="360"/>
      <c r="N217" s="360"/>
      <c r="O217" s="360" t="s">
        <v>16425</v>
      </c>
      <c r="P217" s="361"/>
      <c r="Q217" s="362"/>
      <c r="R217" s="215" t="str">
        <f ca="1">IF(ISERROR($V217),"",OFFSET('Smelter Look-up'!$C$4,$V217-4,0)&amp;"")</f>
        <v>LSM Brasil S.A.</v>
      </c>
      <c r="S217" s="222" t="str">
        <f t="shared" ca="1" si="30"/>
        <v>BR</v>
      </c>
      <c r="T217" s="222" t="str">
        <f ca="1">IF(B217="","",IF(ISERROR(MATCH($J217,SorP!$B$1:$B$6230,0)),"",INDIRECT("'SorP'!$A$"&amp;MATCH($J217,SorP!$B$1:$B$6230,0))))</f>
        <v>BR-MG</v>
      </c>
      <c r="U217" s="238"/>
      <c r="V217" s="270">
        <f>IF(C217="",NA(),MATCH($B217&amp;$C217,'Smelter Look-up'!$J:$J,0))</f>
        <v>341</v>
      </c>
      <c r="W217" s="271"/>
      <c r="X217" s="271">
        <f t="shared" si="31"/>
        <v>0</v>
      </c>
      <c r="Y217" s="271"/>
      <c r="Z217" s="271"/>
      <c r="AB217" s="273" t="str">
        <f t="shared" si="32"/>
        <v>TantalumLSM Brasil S.A.</v>
      </c>
    </row>
    <row r="218" spans="1:28" s="272" customFormat="1" ht="89.25">
      <c r="A218" s="363" t="s">
        <v>700</v>
      </c>
      <c r="B218" s="355" t="s">
        <v>1130</v>
      </c>
      <c r="C218" s="356" t="s">
        <v>56</v>
      </c>
      <c r="D218" s="357"/>
      <c r="E218" s="355" t="s">
        <v>15751</v>
      </c>
      <c r="F218" s="355" t="s">
        <v>700</v>
      </c>
      <c r="G218" s="355" t="s">
        <v>13459</v>
      </c>
      <c r="H218" s="358" t="s">
        <v>16426</v>
      </c>
      <c r="I218" s="359" t="s">
        <v>1620</v>
      </c>
      <c r="J218" s="359" t="s">
        <v>13081</v>
      </c>
      <c r="K218" s="360" t="s">
        <v>16427</v>
      </c>
      <c r="L218" s="360" t="s">
        <v>16428</v>
      </c>
      <c r="M218" s="360"/>
      <c r="N218" s="360"/>
      <c r="O218" s="360" t="s">
        <v>16429</v>
      </c>
      <c r="P218" s="361"/>
      <c r="Q218" s="362"/>
      <c r="R218" s="215" t="str">
        <f ca="1">IF(ISERROR($V218),"",OFFSET('Smelter Look-up'!$C$4,$V218-4,0)&amp;"")</f>
        <v>LS-NIKKO Copper Inc.</v>
      </c>
      <c r="S218" s="222" t="str">
        <f t="shared" ca="1" si="30"/>
        <v>KR</v>
      </c>
      <c r="T218" s="222" t="str">
        <f ca="1">IF(B218="","",IF(ISERROR(MATCH($J218,SorP!$B$1:$B$6230,0)),"",INDIRECT("'SorP'!$A$"&amp;MATCH($J218,SorP!$B$1:$B$6230,0))))</f>
        <v>KR-31</v>
      </c>
      <c r="U218" s="238"/>
      <c r="V218" s="270">
        <f>IF(C218="",NA(),MATCH($B218&amp;$C218,'Smelter Look-up'!$J:$J,0))</f>
        <v>153</v>
      </c>
      <c r="W218" s="271"/>
      <c r="X218" s="271">
        <f t="shared" si="31"/>
        <v>0</v>
      </c>
      <c r="Y218" s="271"/>
      <c r="Z218" s="271"/>
      <c r="AB218" s="273" t="str">
        <f t="shared" si="32"/>
        <v>GoldLS-NIKKO Copper Inc.</v>
      </c>
    </row>
    <row r="219" spans="1:28" s="272" customFormat="1" ht="79.5" customHeight="1">
      <c r="A219" s="363" t="s">
        <v>1814</v>
      </c>
      <c r="B219" s="355" t="s">
        <v>1131</v>
      </c>
      <c r="C219" s="356" t="s">
        <v>1813</v>
      </c>
      <c r="D219" s="357"/>
      <c r="E219" s="355" t="s">
        <v>15646</v>
      </c>
      <c r="F219" s="355" t="s">
        <v>1814</v>
      </c>
      <c r="G219" s="355" t="s">
        <v>13459</v>
      </c>
      <c r="H219" s="358" t="s">
        <v>16430</v>
      </c>
      <c r="I219" s="359" t="s">
        <v>2477</v>
      </c>
      <c r="J219" s="359" t="s">
        <v>13851</v>
      </c>
      <c r="K219" s="360" t="s">
        <v>16431</v>
      </c>
      <c r="L219" s="360" t="s">
        <v>16432</v>
      </c>
      <c r="M219" s="360"/>
      <c r="N219" s="360"/>
      <c r="O219" s="360" t="s">
        <v>16433</v>
      </c>
      <c r="P219" s="361"/>
      <c r="Q219" s="362"/>
      <c r="R219" s="215" t="str">
        <f ca="1">IF(ISERROR($V219),"",OFFSET('Smelter Look-up'!$C$4,$V219-4,0)&amp;"")</f>
        <v>Gejiu Yunxin Nonferrous Electrolysis Co., Ltd.</v>
      </c>
      <c r="S219" s="222" t="str">
        <f t="shared" ca="1" si="30"/>
        <v>CN</v>
      </c>
      <c r="T219" s="222" t="str">
        <f ca="1">IF(B219="","",IF(ISERROR(MATCH($J219,SorP!$B$1:$B$6230,0)),"",INDIRECT("'SorP'!$A$"&amp;MATCH($J219,SorP!$B$1:$B$6230,0))))</f>
        <v>CN-YN</v>
      </c>
      <c r="U219" s="238"/>
      <c r="V219" s="270">
        <f>IF(C219="",NA(),MATCH($B219&amp;$C219,'Smelter Look-up'!$J:$J,0))</f>
        <v>429</v>
      </c>
      <c r="W219" s="271"/>
      <c r="X219" s="271">
        <f t="shared" si="31"/>
        <v>0</v>
      </c>
      <c r="Y219" s="271"/>
      <c r="Z219" s="271"/>
      <c r="AB219" s="273" t="str">
        <f t="shared" si="32"/>
        <v>TinGejiu Yunxin Nonferrous Electrolysis Co., Ltd.</v>
      </c>
    </row>
    <row r="220" spans="1:28" s="272" customFormat="1" ht="81" customHeight="1">
      <c r="A220" s="363" t="s">
        <v>790</v>
      </c>
      <c r="B220" s="355" t="s">
        <v>1131</v>
      </c>
      <c r="C220" s="356" t="s">
        <v>2183</v>
      </c>
      <c r="D220" s="357"/>
      <c r="E220" s="355" t="s">
        <v>15646</v>
      </c>
      <c r="F220" s="355" t="s">
        <v>790</v>
      </c>
      <c r="G220" s="355" t="s">
        <v>13459</v>
      </c>
      <c r="H220" s="358" t="s">
        <v>16434</v>
      </c>
      <c r="I220" s="359" t="s">
        <v>2477</v>
      </c>
      <c r="J220" s="359" t="s">
        <v>13851</v>
      </c>
      <c r="K220" s="360" t="s">
        <v>16435</v>
      </c>
      <c r="L220" s="360" t="s">
        <v>16436</v>
      </c>
      <c r="M220" s="360"/>
      <c r="N220" s="360"/>
      <c r="O220" s="360" t="s">
        <v>16437</v>
      </c>
      <c r="P220" s="361"/>
      <c r="Q220" s="362"/>
      <c r="R220" s="215" t="str">
        <f ca="1">IF(ISERROR($V220),"",OFFSET('Smelter Look-up'!$C$4,$V220-4,0)&amp;"")</f>
        <v>Yunnan Chengfeng Non-ferrous Metals Co., Ltd.</v>
      </c>
      <c r="S220" s="222" t="str">
        <f t="shared" ca="1" si="30"/>
        <v>CN</v>
      </c>
      <c r="T220" s="222" t="str">
        <f ca="1">IF(B220="","",IF(ISERROR(MATCH($J220,SorP!$B$1:$B$6230,0)),"",INDIRECT("'SorP'!$A$"&amp;MATCH($J220,SorP!$B$1:$B$6230,0))))</f>
        <v>CN-YN</v>
      </c>
      <c r="U220" s="238"/>
      <c r="V220" s="270">
        <f>IF(C220="",NA(),MATCH($B220&amp;$C220,'Smelter Look-up'!$J:$J,0))</f>
        <v>520</v>
      </c>
      <c r="W220" s="271"/>
      <c r="X220" s="271">
        <f t="shared" si="31"/>
        <v>0</v>
      </c>
      <c r="Y220" s="271"/>
      <c r="Z220" s="271"/>
      <c r="AB220" s="273" t="str">
        <f t="shared" si="32"/>
        <v>TinYunnan Chengfeng Non-ferrous Metals Co., Ltd.</v>
      </c>
    </row>
    <row r="221" spans="1:28" s="272" customFormat="1" ht="76.5">
      <c r="A221" s="363" t="s">
        <v>791</v>
      </c>
      <c r="B221" s="355" t="s">
        <v>1131</v>
      </c>
      <c r="C221" s="356" t="s">
        <v>2370</v>
      </c>
      <c r="D221" s="357"/>
      <c r="E221" s="355" t="s">
        <v>15646</v>
      </c>
      <c r="F221" s="355" t="s">
        <v>791</v>
      </c>
      <c r="G221" s="355" t="s">
        <v>13459</v>
      </c>
      <c r="H221" s="358" t="s">
        <v>16438</v>
      </c>
      <c r="I221" s="359" t="s">
        <v>2477</v>
      </c>
      <c r="J221" s="359" t="s">
        <v>13851</v>
      </c>
      <c r="K221" s="360" t="s">
        <v>16439</v>
      </c>
      <c r="L221" s="360" t="s">
        <v>16440</v>
      </c>
      <c r="M221" s="360"/>
      <c r="N221" s="360"/>
      <c r="O221" s="360" t="s">
        <v>16441</v>
      </c>
      <c r="P221" s="361"/>
      <c r="Q221" s="362"/>
      <c r="R221" s="215" t="str">
        <f ca="1">IF(ISERROR($V221),"",OFFSET('Smelter Look-up'!$C$4,$V221-4,0)&amp;"")</f>
        <v>Yunnan Tin Company Limited</v>
      </c>
      <c r="S221" s="222" t="str">
        <f t="shared" ca="1" si="30"/>
        <v>CN</v>
      </c>
      <c r="T221" s="222" t="str">
        <f ca="1">IF(B221="","",IF(ISERROR(MATCH($J221,SorP!$B$1:$B$6230,0)),"",INDIRECT("'SorP'!$A$"&amp;MATCH($J221,SorP!$B$1:$B$6230,0))))</f>
        <v>CN-YN</v>
      </c>
      <c r="U221" s="238"/>
      <c r="V221" s="270">
        <f>IF(C221="",NA(),MATCH($B221&amp;$C221,'Smelter Look-up'!$J:$J,0))</f>
        <v>524</v>
      </c>
      <c r="W221" s="271"/>
      <c r="X221" s="271">
        <f t="shared" si="31"/>
        <v>0</v>
      </c>
      <c r="Y221" s="271"/>
      <c r="Z221" s="271"/>
      <c r="AB221" s="273" t="str">
        <f t="shared" si="32"/>
        <v>TinYunnan Tin Company Limited</v>
      </c>
    </row>
    <row r="222" spans="1:28" s="272" customFormat="1" ht="89.25">
      <c r="A222" s="363" t="s">
        <v>757</v>
      </c>
      <c r="B222" s="355" t="s">
        <v>1132</v>
      </c>
      <c r="C222" s="356" t="s">
        <v>1230</v>
      </c>
      <c r="D222" s="357"/>
      <c r="E222" s="355" t="s">
        <v>15641</v>
      </c>
      <c r="F222" s="355" t="s">
        <v>757</v>
      </c>
      <c r="G222" s="355" t="s">
        <v>13459</v>
      </c>
      <c r="H222" s="358" t="s">
        <v>16442</v>
      </c>
      <c r="I222" s="359" t="s">
        <v>1738</v>
      </c>
      <c r="J222" s="359" t="s">
        <v>1739</v>
      </c>
      <c r="K222" s="360" t="s">
        <v>16443</v>
      </c>
      <c r="L222" s="360" t="s">
        <v>16444</v>
      </c>
      <c r="M222" s="360"/>
      <c r="N222" s="360"/>
      <c r="O222" s="360" t="s">
        <v>16445</v>
      </c>
      <c r="P222" s="361"/>
      <c r="Q222" s="362"/>
      <c r="R222" s="215" t="str">
        <f ca="1">IF(ISERROR($V222),"",OFFSET('Smelter Look-up'!$C$4,$V222-4,0)&amp;"")</f>
        <v>Mitsui Mining and Smelting Co., Ltd.</v>
      </c>
      <c r="S222" s="222" t="str">
        <f t="shared" ca="1" si="30"/>
        <v>JP</v>
      </c>
      <c r="T222" s="222" t="str">
        <f ca="1">IF(B222="","",IF(ISERROR(MATCH($J222,SorP!$B$1:$B$6230,0)),"",INDIRECT("'SorP'!$A$"&amp;MATCH($J222,SorP!$B$1:$B$6230,0))))</f>
        <v>JP-40</v>
      </c>
      <c r="U222" s="238"/>
      <c r="V222" s="270">
        <f>IF(C222="",NA(),MATCH($B222&amp;$C222,'Smelter Look-up'!$J:$J,0))</f>
        <v>349</v>
      </c>
      <c r="W222" s="271"/>
      <c r="X222" s="271">
        <f t="shared" si="31"/>
        <v>0</v>
      </c>
      <c r="Y222" s="271"/>
      <c r="Z222" s="271"/>
      <c r="AB222" s="273" t="str">
        <f t="shared" si="32"/>
        <v>TantalumMitsui Mining and Smelting Co., Ltd.</v>
      </c>
    </row>
    <row r="223" spans="1:28" s="272" customFormat="1" ht="89.25">
      <c r="A223" s="363" t="s">
        <v>711</v>
      </c>
      <c r="B223" s="355" t="s">
        <v>1130</v>
      </c>
      <c r="C223" s="356" t="s">
        <v>1230</v>
      </c>
      <c r="D223" s="357"/>
      <c r="E223" s="355" t="s">
        <v>15641</v>
      </c>
      <c r="F223" s="355" t="s">
        <v>711</v>
      </c>
      <c r="G223" s="355" t="s">
        <v>13459</v>
      </c>
      <c r="H223" s="358" t="s">
        <v>16446</v>
      </c>
      <c r="I223" s="359" t="s">
        <v>1635</v>
      </c>
      <c r="J223" s="359" t="s">
        <v>1634</v>
      </c>
      <c r="K223" s="360" t="s">
        <v>16443</v>
      </c>
      <c r="L223" s="360" t="s">
        <v>16444</v>
      </c>
      <c r="M223" s="360"/>
      <c r="N223" s="360"/>
      <c r="O223" s="360" t="s">
        <v>16447</v>
      </c>
      <c r="P223" s="361"/>
      <c r="Q223" s="362"/>
      <c r="R223" s="215" t="str">
        <f ca="1">IF(ISERROR($V223),"",OFFSET('Smelter Look-up'!$C$4,$V223-4,0)&amp;"")</f>
        <v>Mitsui Mining and Smelting Co., Ltd.</v>
      </c>
      <c r="S223" s="222" t="str">
        <f t="shared" ca="1" si="30"/>
        <v>JP</v>
      </c>
      <c r="T223" s="222" t="str">
        <f ca="1">IF(B223="","",IF(ISERROR(MATCH($J223,SorP!$B$1:$B$6230,0)),"",INDIRECT("'SorP'!$A$"&amp;MATCH($J223,SorP!$B$1:$B$6230,0))))</f>
        <v>JP-34</v>
      </c>
      <c r="U223" s="238"/>
      <c r="V223" s="270">
        <f>IF(C223="",NA(),MATCH($B223&amp;$C223,'Smelter Look-up'!$J:$J,0))</f>
        <v>179</v>
      </c>
      <c r="W223" s="271"/>
      <c r="X223" s="271">
        <f t="shared" si="31"/>
        <v>0</v>
      </c>
      <c r="Y223" s="271"/>
      <c r="Z223" s="271"/>
      <c r="AB223" s="273" t="str">
        <f t="shared" si="32"/>
        <v>GoldMitsui Mining and Smelting Co., Ltd.</v>
      </c>
    </row>
    <row r="224" spans="1:28" s="272" customFormat="1" ht="38.25">
      <c r="A224" s="363" t="s">
        <v>740</v>
      </c>
      <c r="B224" s="355" t="s">
        <v>1130</v>
      </c>
      <c r="C224" s="356" t="s">
        <v>2360</v>
      </c>
      <c r="D224" s="357"/>
      <c r="E224" s="355" t="s">
        <v>15636</v>
      </c>
      <c r="F224" s="355" t="s">
        <v>740</v>
      </c>
      <c r="G224" s="355" t="s">
        <v>13459</v>
      </c>
      <c r="H224" s="358" t="s">
        <v>16448</v>
      </c>
      <c r="I224" s="359" t="s">
        <v>1687</v>
      </c>
      <c r="J224" s="359" t="s">
        <v>1556</v>
      </c>
      <c r="K224" s="360" t="s">
        <v>16449</v>
      </c>
      <c r="L224" s="360" t="s">
        <v>16450</v>
      </c>
      <c r="M224" s="360"/>
      <c r="N224" s="360"/>
      <c r="O224" s="360" t="s">
        <v>16451</v>
      </c>
      <c r="P224" s="361"/>
      <c r="Q224" s="362"/>
      <c r="R224" s="215" t="str">
        <f ca="1">IF(ISERROR($V224),"",OFFSET('Smelter Look-up'!$C$4,$V224-4,0)&amp;"")</f>
        <v>Valcambi S.A.</v>
      </c>
      <c r="S224" s="222" t="str">
        <f t="shared" ca="1" si="30"/>
        <v>CH</v>
      </c>
      <c r="T224" s="222" t="str">
        <f ca="1">IF(B224="","",IF(ISERROR(MATCH($J224,SorP!$B$1:$B$6230,0)),"",INDIRECT("'SorP'!$A$"&amp;MATCH($J224,SorP!$B$1:$B$6230,0))))</f>
        <v>CH-TI</v>
      </c>
      <c r="U224" s="238"/>
      <c r="V224" s="270">
        <f>IF(C224="",NA(),MATCH($B224&amp;$C224,'Smelter Look-up'!$J:$J,0))</f>
        <v>288</v>
      </c>
      <c r="W224" s="271"/>
      <c r="X224" s="271">
        <f t="shared" si="31"/>
        <v>0</v>
      </c>
      <c r="Y224" s="271"/>
      <c r="Z224" s="271"/>
      <c r="AB224" s="273" t="str">
        <f t="shared" si="32"/>
        <v>GoldValcambi S.A.</v>
      </c>
    </row>
    <row r="225" spans="1:28" s="272" customFormat="1" ht="67.5" customHeight="1">
      <c r="A225" s="363" t="s">
        <v>746</v>
      </c>
      <c r="B225" s="355" t="s">
        <v>1130</v>
      </c>
      <c r="C225" s="356" t="s">
        <v>2527</v>
      </c>
      <c r="D225" s="357"/>
      <c r="E225" s="355" t="s">
        <v>15646</v>
      </c>
      <c r="F225" s="355" t="s">
        <v>746</v>
      </c>
      <c r="G225" s="355" t="s">
        <v>13459</v>
      </c>
      <c r="H225" s="358" t="s">
        <v>16452</v>
      </c>
      <c r="I225" s="359" t="s">
        <v>1698</v>
      </c>
      <c r="J225" s="359" t="s">
        <v>13841</v>
      </c>
      <c r="K225" s="360" t="s">
        <v>16453</v>
      </c>
      <c r="L225" s="360" t="s">
        <v>16454</v>
      </c>
      <c r="M225" s="360"/>
      <c r="N225" s="360"/>
      <c r="O225" s="360" t="s">
        <v>16455</v>
      </c>
      <c r="P225" s="361"/>
      <c r="Q225" s="362"/>
      <c r="R225" s="215" t="str">
        <f ca="1">IF(ISERROR($V225),"",OFFSET('Smelter Look-up'!$C$4,$V225-4,0)&amp;"")</f>
        <v>Gold Refinery of Zijin Mining Group Co., Ltd.</v>
      </c>
      <c r="S225" s="222" t="str">
        <f t="shared" ca="1" si="30"/>
        <v>CN</v>
      </c>
      <c r="T225" s="222" t="str">
        <f ca="1">IF(B225="","",IF(ISERROR(MATCH($J225,SorP!$B$1:$B$6230,0)),"",INDIRECT("'SorP'!$A$"&amp;MATCH($J225,SorP!$B$1:$B$6230,0))))</f>
        <v>CN-FJ</v>
      </c>
      <c r="U225" s="238"/>
      <c r="V225" s="270">
        <f>IF(C225="",NA(),MATCH($B225&amp;$C225,'Smelter Look-up'!$J:$J,0))</f>
        <v>88</v>
      </c>
      <c r="W225" s="271"/>
      <c r="X225" s="271">
        <f t="shared" si="31"/>
        <v>0</v>
      </c>
      <c r="Y225" s="271"/>
      <c r="Z225" s="271"/>
      <c r="AB225" s="273" t="str">
        <f t="shared" si="32"/>
        <v>GoldGold Refinery of Zijin Mining Group Co., Ltd.</v>
      </c>
    </row>
    <row r="226" spans="1:28" s="272" customFormat="1" ht="94.5" customHeight="1">
      <c r="A226" s="363" t="s">
        <v>393</v>
      </c>
      <c r="B226" s="355" t="s">
        <v>1133</v>
      </c>
      <c r="C226" s="356" t="s">
        <v>392</v>
      </c>
      <c r="D226" s="357"/>
      <c r="E226" s="355" t="s">
        <v>15646</v>
      </c>
      <c r="F226" s="355" t="s">
        <v>393</v>
      </c>
      <c r="G226" s="355" t="s">
        <v>13459</v>
      </c>
      <c r="H226" s="358" t="s">
        <v>16456</v>
      </c>
      <c r="I226" s="359" t="s">
        <v>1787</v>
      </c>
      <c r="J226" s="359" t="s">
        <v>13842</v>
      </c>
      <c r="K226" s="360" t="s">
        <v>16457</v>
      </c>
      <c r="L226" s="360" t="s">
        <v>16458</v>
      </c>
      <c r="M226" s="360"/>
      <c r="N226" s="360"/>
      <c r="O226" s="360" t="s">
        <v>16459</v>
      </c>
      <c r="P226" s="361"/>
      <c r="Q226" s="362"/>
      <c r="R226" s="215" t="str">
        <f ca="1">IF(ISERROR($V226),"",OFFSET('Smelter Look-up'!$C$4,$V226-4,0)&amp;"")</f>
        <v>Ganzhou Seadragon W &amp; Mo Co., Ltd.</v>
      </c>
      <c r="S226" s="222" t="str">
        <f t="shared" ca="1" si="30"/>
        <v>CN</v>
      </c>
      <c r="T226" s="222" t="str">
        <f ca="1">IF(B226="","",IF(ISERROR(MATCH($J226,SorP!$B$1:$B$6230,0)),"",INDIRECT("'SorP'!$A$"&amp;MATCH($J226,SorP!$B$1:$B$6230,0))))</f>
        <v>CN-JX</v>
      </c>
      <c r="U226" s="238"/>
      <c r="V226" s="270">
        <f>IF(C226="",NA(),MATCH($B226&amp;$C226,'Smelter Look-up'!$J:$J,0))</f>
        <v>558</v>
      </c>
      <c r="W226" s="271"/>
      <c r="X226" s="271">
        <f t="shared" si="31"/>
        <v>0</v>
      </c>
      <c r="Y226" s="271"/>
      <c r="Z226" s="271"/>
      <c r="AB226" s="273" t="str">
        <f t="shared" si="32"/>
        <v>TungstenGanzhou Seadragon W &amp; Mo Co., Ltd.</v>
      </c>
    </row>
    <row r="227" spans="1:28" s="272" customFormat="1" ht="63.75">
      <c r="A227" s="363" t="s">
        <v>677</v>
      </c>
      <c r="B227" s="355" t="s">
        <v>1130</v>
      </c>
      <c r="C227" s="356" t="s">
        <v>676</v>
      </c>
      <c r="D227" s="357"/>
      <c r="E227" s="355" t="s">
        <v>15646</v>
      </c>
      <c r="F227" s="355" t="s">
        <v>677</v>
      </c>
      <c r="G227" s="355" t="s">
        <v>13459</v>
      </c>
      <c r="H227" s="358" t="s">
        <v>16460</v>
      </c>
      <c r="I227" s="359" t="s">
        <v>1700</v>
      </c>
      <c r="J227" s="359" t="s">
        <v>13847</v>
      </c>
      <c r="K227" s="360" t="s">
        <v>16461</v>
      </c>
      <c r="L227" s="360" t="s">
        <v>16462</v>
      </c>
      <c r="M227" s="360"/>
      <c r="N227" s="360"/>
      <c r="O227" s="360" t="s">
        <v>16463</v>
      </c>
      <c r="P227" s="361"/>
      <c r="Q227" s="362"/>
      <c r="R227" s="215" t="str">
        <f ca="1">IF(ISERROR($V227),"",OFFSET('Smelter Look-up'!$C$4,$V227-4,0)&amp;"")</f>
        <v>Guangdong Jinding Gold Limited</v>
      </c>
      <c r="S227" s="222" t="str">
        <f t="shared" ca="1" si="30"/>
        <v>CN</v>
      </c>
      <c r="T227" s="222" t="str">
        <f ca="1">IF(B227="","",IF(ISERROR(MATCH($J227,SorP!$B$1:$B$6230,0)),"",INDIRECT("'SorP'!$A$"&amp;MATCH($J227,SorP!$B$1:$B$6230,0))))</f>
        <v>CN-GD</v>
      </c>
      <c r="U227" s="238"/>
      <c r="V227" s="270">
        <f>IF(C227="",NA(),MATCH($B227&amp;$C227,'Smelter Look-up'!$J:$J,0))</f>
        <v>92</v>
      </c>
      <c r="W227" s="271"/>
      <c r="X227" s="271">
        <f t="shared" si="31"/>
        <v>0</v>
      </c>
      <c r="Y227" s="271"/>
      <c r="Z227" s="271"/>
      <c r="AB227" s="273" t="str">
        <f t="shared" si="32"/>
        <v>GoldGuangdong Jinding Gold Limited</v>
      </c>
    </row>
    <row r="228" spans="1:28" s="272" customFormat="1" ht="75.75" customHeight="1">
      <c r="A228" s="363" t="s">
        <v>144</v>
      </c>
      <c r="B228" s="355" t="s">
        <v>1133</v>
      </c>
      <c r="C228" s="356" t="s">
        <v>155</v>
      </c>
      <c r="D228" s="357"/>
      <c r="E228" s="355" t="s">
        <v>15646</v>
      </c>
      <c r="F228" s="355" t="s">
        <v>144</v>
      </c>
      <c r="G228" s="355" t="s">
        <v>13459</v>
      </c>
      <c r="H228" s="358" t="s">
        <v>16464</v>
      </c>
      <c r="I228" s="359" t="s">
        <v>1851</v>
      </c>
      <c r="J228" s="359" t="s">
        <v>13851</v>
      </c>
      <c r="K228" s="360" t="s">
        <v>16198</v>
      </c>
      <c r="L228" s="360" t="s">
        <v>16199</v>
      </c>
      <c r="M228" s="360"/>
      <c r="N228" s="360"/>
      <c r="O228" s="360" t="s">
        <v>16465</v>
      </c>
      <c r="P228" s="361"/>
      <c r="Q228" s="362"/>
      <c r="R228" s="215" t="str">
        <f ca="1">IF(ISERROR($V228),"",OFFSET('Smelter Look-up'!$C$4,$V228-4,0)&amp;"")</f>
        <v>Malipo Haiyu Tungsten Co., Ltd.</v>
      </c>
      <c r="S228" s="222" t="str">
        <f t="shared" ca="1" si="30"/>
        <v>CN</v>
      </c>
      <c r="T228" s="222" t="str">
        <f ca="1">IF(B228="","",IF(ISERROR(MATCH($J228,SorP!$B$1:$B$6230,0)),"",INDIRECT("'SorP'!$A$"&amp;MATCH($J228,SorP!$B$1:$B$6230,0))))</f>
        <v>CN-YN</v>
      </c>
      <c r="U228" s="238"/>
      <c r="V228" s="270">
        <f>IF(C228="",NA(),MATCH($B228&amp;$C228,'Smelter Look-up'!$J:$J,0))</f>
        <v>586</v>
      </c>
      <c r="W228" s="271"/>
      <c r="X228" s="271">
        <f t="shared" si="31"/>
        <v>0</v>
      </c>
      <c r="Y228" s="271"/>
      <c r="Z228" s="271"/>
      <c r="AB228" s="273" t="str">
        <f t="shared" si="32"/>
        <v>TungstenMalipo Haiyu Tungsten Co., Ltd.</v>
      </c>
    </row>
    <row r="229" spans="1:28" s="272" customFormat="1" ht="48" customHeight="1">
      <c r="A229" s="363" t="s">
        <v>1412</v>
      </c>
      <c r="B229" s="355" t="s">
        <v>1132</v>
      </c>
      <c r="C229" s="356" t="s">
        <v>1411</v>
      </c>
      <c r="D229" s="357"/>
      <c r="E229" s="355" t="s">
        <v>15641</v>
      </c>
      <c r="F229" s="355" t="s">
        <v>1412</v>
      </c>
      <c r="G229" s="355" t="s">
        <v>13459</v>
      </c>
      <c r="H229" s="358" t="s">
        <v>16466</v>
      </c>
      <c r="I229" s="359" t="s">
        <v>1768</v>
      </c>
      <c r="J229" s="359" t="s">
        <v>1561</v>
      </c>
      <c r="K229" s="360" t="s">
        <v>16467</v>
      </c>
      <c r="L229" s="360" t="s">
        <v>16468</v>
      </c>
      <c r="M229" s="360"/>
      <c r="N229" s="360"/>
      <c r="O229" s="360" t="s">
        <v>16469</v>
      </c>
      <c r="P229" s="361"/>
      <c r="Q229" s="362"/>
      <c r="R229" s="215" t="str">
        <f ca="1">IF(ISERROR($V229),"",OFFSET('Smelter Look-up'!$C$4,$V229-4,0)&amp;"")</f>
        <v>Global Advanced Metals Aizu</v>
      </c>
      <c r="S229" s="222" t="str">
        <f t="shared" ca="1" si="30"/>
        <v>JP</v>
      </c>
      <c r="T229" s="222" t="str">
        <f ca="1">IF(B229="","",IF(ISERROR(MATCH($J229,SorP!$B$1:$B$6230,0)),"",INDIRECT("'SorP'!$A$"&amp;MATCH($J229,SorP!$B$1:$B$6230,0))))</f>
        <v>JP-07</v>
      </c>
      <c r="U229" s="238"/>
      <c r="V229" s="270">
        <f>IF(C229="",NA(),MATCH($B229&amp;$C229,'Smelter Look-up'!$J:$J,0))</f>
        <v>323</v>
      </c>
      <c r="W229" s="271"/>
      <c r="X229" s="271">
        <f t="shared" si="31"/>
        <v>0</v>
      </c>
      <c r="Y229" s="271"/>
      <c r="Z229" s="271"/>
      <c r="AB229" s="273" t="str">
        <f t="shared" si="32"/>
        <v>TantalumGlobal Advanced Metals Aizu</v>
      </c>
    </row>
    <row r="230" spans="1:28" s="272" customFormat="1" ht="38.25">
      <c r="A230" s="363" t="s">
        <v>725</v>
      </c>
      <c r="B230" s="355" t="s">
        <v>1130</v>
      </c>
      <c r="C230" s="356" t="s">
        <v>1165</v>
      </c>
      <c r="D230" s="357"/>
      <c r="E230" s="355" t="s">
        <v>15631</v>
      </c>
      <c r="F230" s="355" t="s">
        <v>725</v>
      </c>
      <c r="G230" s="355" t="s">
        <v>13459</v>
      </c>
      <c r="H230" s="358" t="s">
        <v>16470</v>
      </c>
      <c r="I230" s="359" t="s">
        <v>1654</v>
      </c>
      <c r="J230" s="359" t="s">
        <v>1655</v>
      </c>
      <c r="K230" s="360" t="s">
        <v>16471</v>
      </c>
      <c r="L230" s="360" t="s">
        <v>16472</v>
      </c>
      <c r="M230" s="360"/>
      <c r="N230" s="360"/>
      <c r="O230" s="360" t="s">
        <v>16473</v>
      </c>
      <c r="P230" s="361"/>
      <c r="Q230" s="362"/>
      <c r="R230" s="215" t="str">
        <f ca="1">IF(ISERROR($V230),"",OFFSET('Smelter Look-up'!$C$4,$V230-4,0)&amp;"")</f>
        <v>Sabin Metal Corp.</v>
      </c>
      <c r="S230" s="222" t="str">
        <f t="shared" ca="1" si="30"/>
        <v>US</v>
      </c>
      <c r="T230" s="222" t="str">
        <f ca="1">IF(B230="","",IF(ISERROR(MATCH($J230,SorP!$B$1:$B$6230,0)),"",INDIRECT("'SorP'!$A$"&amp;MATCH($J230,SorP!$B$1:$B$6230,0))))</f>
        <v>US-ND</v>
      </c>
      <c r="U230" s="238"/>
      <c r="V230" s="270">
        <f>IF(C230="",NA(),MATCH($B230&amp;$C230,'Smelter Look-up'!$J:$J,0))</f>
        <v>217</v>
      </c>
      <c r="W230" s="271"/>
      <c r="X230" s="271">
        <f t="shared" si="31"/>
        <v>0</v>
      </c>
      <c r="Y230" s="271"/>
      <c r="Z230" s="271"/>
      <c r="AB230" s="273" t="str">
        <f t="shared" si="32"/>
        <v>GoldSabin Metal Corp.</v>
      </c>
    </row>
    <row r="231" spans="1:28" s="272" customFormat="1" ht="76.5" customHeight="1">
      <c r="A231" s="363" t="s">
        <v>1662</v>
      </c>
      <c r="B231" s="355" t="s">
        <v>1130</v>
      </c>
      <c r="C231" s="356" t="s">
        <v>1661</v>
      </c>
      <c r="D231" s="357"/>
      <c r="E231" s="355" t="s">
        <v>15646</v>
      </c>
      <c r="F231" s="355" t="s">
        <v>1662</v>
      </c>
      <c r="G231" s="355" t="s">
        <v>13459</v>
      </c>
      <c r="H231" s="358" t="s">
        <v>16474</v>
      </c>
      <c r="I231" s="359" t="s">
        <v>1663</v>
      </c>
      <c r="J231" s="359" t="s">
        <v>13843</v>
      </c>
      <c r="K231" s="360" t="s">
        <v>16475</v>
      </c>
      <c r="L231" s="360" t="s">
        <v>16476</v>
      </c>
      <c r="M231" s="360"/>
      <c r="N231" s="360"/>
      <c r="O231" s="360" t="s">
        <v>16477</v>
      </c>
      <c r="P231" s="361"/>
      <c r="Q231" s="362"/>
      <c r="R231" s="215" t="str">
        <f ca="1">IF(ISERROR($V231),"",OFFSET('Smelter Look-up'!$C$4,$V231-4,0)&amp;"")</f>
        <v>Shandong Tiancheng Biological Gold Industrial Co., Ltd.</v>
      </c>
      <c r="S231" s="222" t="str">
        <f t="shared" ca="1" si="30"/>
        <v>CN</v>
      </c>
      <c r="T231" s="222" t="str">
        <f ca="1">IF(B231="","",IF(ISERROR(MATCH($J231,SorP!$B$1:$B$6230,0)),"",INDIRECT("'SorP'!$A$"&amp;MATCH($J231,SorP!$B$1:$B$6230,0))))</f>
        <v>CN-SD</v>
      </c>
      <c r="U231" s="238"/>
      <c r="V231" s="270">
        <f>IF(C231="",NA(),MATCH($B231&amp;$C231,'Smelter Look-up'!$J:$J,0))</f>
        <v>240</v>
      </c>
      <c r="W231" s="271"/>
      <c r="X231" s="271">
        <f t="shared" si="31"/>
        <v>0</v>
      </c>
      <c r="Y231" s="271"/>
      <c r="Z231" s="271"/>
      <c r="AB231" s="273" t="str">
        <f t="shared" si="32"/>
        <v>GoldShandong Tiancheng Biological Gold Industrial Co., Ltd.</v>
      </c>
    </row>
    <row r="232" spans="1:28" s="272" customFormat="1" ht="82.5" customHeight="1">
      <c r="A232" s="363" t="s">
        <v>728</v>
      </c>
      <c r="B232" s="355" t="s">
        <v>1130</v>
      </c>
      <c r="C232" s="356" t="s">
        <v>2176</v>
      </c>
      <c r="D232" s="357"/>
      <c r="E232" s="355" t="s">
        <v>15646</v>
      </c>
      <c r="F232" s="355" t="s">
        <v>728</v>
      </c>
      <c r="G232" s="355" t="s">
        <v>13459</v>
      </c>
      <c r="H232" s="358" t="s">
        <v>16478</v>
      </c>
      <c r="I232" s="359" t="s">
        <v>1592</v>
      </c>
      <c r="J232" s="359" t="s">
        <v>13843</v>
      </c>
      <c r="K232" s="360" t="s">
        <v>16479</v>
      </c>
      <c r="L232" s="360" t="s">
        <v>16480</v>
      </c>
      <c r="M232" s="360"/>
      <c r="N232" s="360"/>
      <c r="O232" s="360" t="s">
        <v>16481</v>
      </c>
      <c r="P232" s="361"/>
      <c r="Q232" s="362"/>
      <c r="R232" s="215" t="str">
        <f ca="1">IF(ISERROR($V232),"",OFFSET('Smelter Look-up'!$C$4,$V232-4,0)&amp;"")</f>
        <v>Shandong Zhaojin Gold &amp; Silver Refinery Co., Ltd.</v>
      </c>
      <c r="S232" s="222" t="str">
        <f t="shared" ca="1" si="30"/>
        <v>CN</v>
      </c>
      <c r="T232" s="222" t="str">
        <f ca="1">IF(B232="","",IF(ISERROR(MATCH($J232,SorP!$B$1:$B$6230,0)),"",INDIRECT("'SorP'!$A$"&amp;MATCH($J232,SorP!$B$1:$B$6230,0))))</f>
        <v>CN-SD</v>
      </c>
      <c r="U232" s="238"/>
      <c r="V232" s="270">
        <f>IF(C232="",NA(),MATCH($B232&amp;$C232,'Smelter Look-up'!$J:$J,0))</f>
        <v>241</v>
      </c>
      <c r="W232" s="271"/>
      <c r="X232" s="271">
        <f t="shared" si="31"/>
        <v>0</v>
      </c>
      <c r="Y232" s="271"/>
      <c r="Z232" s="271"/>
      <c r="AB232" s="273" t="str">
        <f t="shared" si="32"/>
        <v>GoldShandong Zhaojin Gold &amp; Silver Refinery Co., Ltd.</v>
      </c>
    </row>
    <row r="233" spans="1:28" s="272" customFormat="1" ht="76.5">
      <c r="A233" s="363" t="s">
        <v>732</v>
      </c>
      <c r="B233" s="355" t="s">
        <v>1130</v>
      </c>
      <c r="C233" s="356" t="s">
        <v>1233</v>
      </c>
      <c r="D233" s="357"/>
      <c r="E233" s="355" t="s">
        <v>15641</v>
      </c>
      <c r="F233" s="355" t="s">
        <v>732</v>
      </c>
      <c r="G233" s="355" t="s">
        <v>13459</v>
      </c>
      <c r="H233" s="358" t="s">
        <v>16482</v>
      </c>
      <c r="I233" s="359" t="s">
        <v>1672</v>
      </c>
      <c r="J233" s="359" t="s">
        <v>1673</v>
      </c>
      <c r="K233" s="360" t="s">
        <v>16483</v>
      </c>
      <c r="L233" s="360" t="s">
        <v>16484</v>
      </c>
      <c r="M233" s="360"/>
      <c r="N233" s="360"/>
      <c r="O233" s="360" t="s">
        <v>16485</v>
      </c>
      <c r="P233" s="361"/>
      <c r="Q233" s="362"/>
      <c r="R233" s="215" t="str">
        <f ca="1">IF(ISERROR($V233),"",OFFSET('Smelter Look-up'!$C$4,$V233-4,0)&amp;"")</f>
        <v>Tanaka Kikinzoku Kogyo K.K.</v>
      </c>
      <c r="S233" s="222" t="str">
        <f t="shared" ca="1" si="30"/>
        <v>JP</v>
      </c>
      <c r="T233" s="222" t="str">
        <f ca="1">IF(B233="","",IF(ISERROR(MATCH($J233,SorP!$B$1:$B$6230,0)),"",INDIRECT("'SorP'!$A$"&amp;MATCH($J233,SorP!$B$1:$B$6230,0))))</f>
        <v>JP-14</v>
      </c>
      <c r="U233" s="238"/>
      <c r="V233" s="270">
        <f>IF(C233="",NA(),MATCH($B233&amp;$C233,'Smelter Look-up'!$J:$J,0))</f>
        <v>271</v>
      </c>
      <c r="W233" s="271"/>
      <c r="X233" s="271">
        <f t="shared" si="31"/>
        <v>0</v>
      </c>
      <c r="Y233" s="271"/>
      <c r="Z233" s="271"/>
      <c r="AB233" s="273" t="str">
        <f t="shared" si="32"/>
        <v>GoldTanaka Kikinzoku Kogyo K.K.</v>
      </c>
    </row>
    <row r="234" spans="1:28" s="272" customFormat="1" ht="86.25" customHeight="1">
      <c r="A234" s="363" t="s">
        <v>745</v>
      </c>
      <c r="B234" s="355" t="s">
        <v>1130</v>
      </c>
      <c r="C234" s="356" t="s">
        <v>1325</v>
      </c>
      <c r="D234" s="357"/>
      <c r="E234" s="355" t="s">
        <v>15646</v>
      </c>
      <c r="F234" s="355" t="s">
        <v>745</v>
      </c>
      <c r="G234" s="355" t="s">
        <v>13459</v>
      </c>
      <c r="H234" s="358" t="s">
        <v>16486</v>
      </c>
      <c r="I234" s="359" t="s">
        <v>1695</v>
      </c>
      <c r="J234" s="359" t="s">
        <v>13844</v>
      </c>
      <c r="K234" s="360" t="s">
        <v>15625</v>
      </c>
      <c r="L234" s="360" t="s">
        <v>16487</v>
      </c>
      <c r="M234" s="360"/>
      <c r="N234" s="360"/>
      <c r="O234" s="360" t="s">
        <v>16488</v>
      </c>
      <c r="P234" s="361"/>
      <c r="Q234" s="362"/>
      <c r="R234" s="215" t="str">
        <f ca="1">IF(ISERROR($V234),"",OFFSET('Smelter Look-up'!$C$4,$V234-4,0)&amp;"")</f>
        <v>Zhongyuan Gold Smelter of Zhongjin Gold Corporation</v>
      </c>
      <c r="S234" s="222" t="str">
        <f t="shared" ca="1" si="30"/>
        <v>CN</v>
      </c>
      <c r="T234" s="222" t="str">
        <f ca="1">IF(B234="","",IF(ISERROR(MATCH($J234,SorP!$B$1:$B$6230,0)),"",INDIRECT("'SorP'!$A$"&amp;MATCH($J234,SorP!$B$1:$B$6230,0))))</f>
        <v>CN-HA</v>
      </c>
      <c r="U234" s="238"/>
      <c r="V234" s="270">
        <f>IF(C234="",NA(),MATCH($B234&amp;$C234,'Smelter Look-up'!$J:$J,0))</f>
        <v>310</v>
      </c>
      <c r="W234" s="271"/>
      <c r="X234" s="271">
        <f t="shared" si="31"/>
        <v>0</v>
      </c>
      <c r="Y234" s="271"/>
      <c r="Z234" s="271"/>
      <c r="AB234" s="273" t="str">
        <f t="shared" si="32"/>
        <v>GoldZhongyuan Gold Smelter of Zhongjin Gold Corporation</v>
      </c>
    </row>
    <row r="235" spans="1:28" s="272" customFormat="1" ht="82.5" customHeight="1">
      <c r="A235" s="363" t="s">
        <v>1326</v>
      </c>
      <c r="B235" s="355" t="s">
        <v>1131</v>
      </c>
      <c r="C235" s="356" t="s">
        <v>2367</v>
      </c>
      <c r="D235" s="357"/>
      <c r="E235" s="355" t="s">
        <v>15626</v>
      </c>
      <c r="F235" s="355" t="s">
        <v>1326</v>
      </c>
      <c r="G235" s="355" t="s">
        <v>13459</v>
      </c>
      <c r="H235" s="358" t="s">
        <v>16489</v>
      </c>
      <c r="I235" s="359" t="s">
        <v>1779</v>
      </c>
      <c r="J235" s="359" t="s">
        <v>1783</v>
      </c>
      <c r="K235" s="360" t="s">
        <v>16155</v>
      </c>
      <c r="L235" s="360" t="s">
        <v>16490</v>
      </c>
      <c r="M235" s="360"/>
      <c r="N235" s="360"/>
      <c r="O235" s="360" t="s">
        <v>16491</v>
      </c>
      <c r="P235" s="361"/>
      <c r="Q235" s="362"/>
      <c r="R235" s="215" t="str">
        <f ca="1">IF(ISERROR($V235),"",OFFSET('Smelter Look-up'!$C$4,$V235-4,0)&amp;"")</f>
        <v>Melt Metais e Ligas S.A.</v>
      </c>
      <c r="S235" s="222" t="str">
        <f t="shared" ca="1" si="30"/>
        <v>BR</v>
      </c>
      <c r="T235" s="222" t="str">
        <f ca="1">IF(B235="","",IF(ISERROR(MATCH($J235,SorP!$B$1:$B$6230,0)),"",INDIRECT("'SorP'!$A$"&amp;MATCH($J235,SorP!$B$1:$B$6230,0))))</f>
        <v>BR-RO</v>
      </c>
      <c r="U235" s="238"/>
      <c r="V235" s="270">
        <f>IF(C235="",NA(),MATCH($B235&amp;$C235,'Smelter Look-up'!$J:$J,0))</f>
        <v>450</v>
      </c>
      <c r="W235" s="271"/>
      <c r="X235" s="271">
        <f t="shared" si="31"/>
        <v>0</v>
      </c>
      <c r="Y235" s="271"/>
      <c r="Z235" s="271"/>
      <c r="AB235" s="273" t="str">
        <f t="shared" si="32"/>
        <v>TinMelt Metais e Ligas S.A.</v>
      </c>
    </row>
    <row r="236" spans="1:28" s="272" customFormat="1" ht="77.25" customHeight="1">
      <c r="A236" s="363" t="s">
        <v>14111</v>
      </c>
      <c r="B236" s="355" t="s">
        <v>1133</v>
      </c>
      <c r="C236" s="356" t="s">
        <v>14096</v>
      </c>
      <c r="D236" s="357"/>
      <c r="E236" s="355" t="s">
        <v>15836</v>
      </c>
      <c r="F236" s="355" t="s">
        <v>14111</v>
      </c>
      <c r="G236" s="355" t="s">
        <v>13459</v>
      </c>
      <c r="H236" s="358" t="s">
        <v>16492</v>
      </c>
      <c r="I236" s="359" t="s">
        <v>14121</v>
      </c>
      <c r="J236" s="359" t="s">
        <v>1854</v>
      </c>
      <c r="K236" s="360" t="s">
        <v>16493</v>
      </c>
      <c r="L236" s="360" t="s">
        <v>16494</v>
      </c>
      <c r="M236" s="360"/>
      <c r="N236" s="360"/>
      <c r="O236" s="360" t="s">
        <v>16495</v>
      </c>
      <c r="P236" s="361"/>
      <c r="Q236" s="362"/>
      <c r="R236" s="215" t="str">
        <f ca="1">IF(ISERROR($V236),"",OFFSET('Smelter Look-up'!$C$4,$V236-4,0)&amp;"")</f>
        <v>Asia Tungsten Products Vietnam Ltd.</v>
      </c>
      <c r="S236" s="222" t="str">
        <f t="shared" ca="1" si="30"/>
        <v>VN</v>
      </c>
      <c r="T236" s="222" t="str">
        <f ca="1">IF(B236="","",IF(ISERROR(MATCH($J236,SorP!$B$1:$B$6230,0)),"",INDIRECT("'SorP'!$A$"&amp;MATCH($J236,SorP!$B$1:$B$6230,0))))</f>
        <v>VN-HP</v>
      </c>
      <c r="U236" s="238"/>
      <c r="V236" s="270">
        <f>IF(C236="",NA(),MATCH($B236&amp;$C236,'Smelter Look-up'!$J:$J,0))</f>
        <v>541</v>
      </c>
      <c r="W236" s="271"/>
      <c r="X236" s="271">
        <f t="shared" si="31"/>
        <v>0</v>
      </c>
      <c r="Y236" s="271"/>
      <c r="Z236" s="271"/>
      <c r="AB236" s="273" t="str">
        <f t="shared" si="32"/>
        <v>TungstenAsia Tungsten Products Vietnam Ltd.</v>
      </c>
    </row>
    <row r="237" spans="1:28" s="272" customFormat="1" ht="105" customHeight="1">
      <c r="A237" s="363" t="s">
        <v>1821</v>
      </c>
      <c r="B237" s="355" t="s">
        <v>1131</v>
      </c>
      <c r="C237" s="356" t="s">
        <v>1820</v>
      </c>
      <c r="D237" s="357"/>
      <c r="E237" s="355" t="s">
        <v>15836</v>
      </c>
      <c r="F237" s="355" t="s">
        <v>1821</v>
      </c>
      <c r="G237" s="355" t="s">
        <v>13459</v>
      </c>
      <c r="H237" s="358" t="s">
        <v>16496</v>
      </c>
      <c r="I237" s="359" t="s">
        <v>1822</v>
      </c>
      <c r="J237" s="359" t="s">
        <v>12388</v>
      </c>
      <c r="K237" s="360" t="s">
        <v>16497</v>
      </c>
      <c r="L237" s="360" t="s">
        <v>16498</v>
      </c>
      <c r="M237" s="360"/>
      <c r="N237" s="360"/>
      <c r="O237" s="360" t="s">
        <v>16499</v>
      </c>
      <c r="P237" s="361"/>
      <c r="Q237" s="362"/>
      <c r="R237" s="215" t="str">
        <f ca="1">IF(ISERROR($V237),"",OFFSET('Smelter Look-up'!$C$4,$V237-4,0)&amp;"")</f>
        <v>Electro-Mechanical Facility of the Cao Bang Minerals &amp; Metallurgy Joint Stock Company</v>
      </c>
      <c r="S237" s="222" t="str">
        <f t="shared" ca="1" si="30"/>
        <v>VN</v>
      </c>
      <c r="T237" s="222" t="str">
        <f ca="1">IF(B237="","",IF(ISERROR(MATCH($J237,SorP!$B$1:$B$6230,0)),"",INDIRECT("'SorP'!$A$"&amp;MATCH($J237,SorP!$B$1:$B$6230,0))))</f>
        <v>VN-04</v>
      </c>
      <c r="U237" s="238"/>
      <c r="V237" s="270">
        <f>IF(C237="",NA(),MATCH($B237&amp;$C237,'Smelter Look-up'!$J:$J,0))</f>
        <v>411</v>
      </c>
      <c r="W237" s="271"/>
      <c r="X237" s="271">
        <f t="shared" si="31"/>
        <v>0</v>
      </c>
      <c r="Y237" s="271"/>
      <c r="Z237" s="271"/>
      <c r="AB237" s="273" t="str">
        <f t="shared" si="32"/>
        <v>TinElectro-Mechanical Facility of the Cao Bang Minerals &amp; Metallurgy Joint Stock Company</v>
      </c>
    </row>
    <row r="238" spans="1:28" s="272" customFormat="1" ht="114.75">
      <c r="A238" s="363" t="s">
        <v>1824</v>
      </c>
      <c r="B238" s="355" t="s">
        <v>1131</v>
      </c>
      <c r="C238" s="356" t="s">
        <v>1823</v>
      </c>
      <c r="D238" s="357"/>
      <c r="E238" s="355" t="s">
        <v>15836</v>
      </c>
      <c r="F238" s="355" t="s">
        <v>1824</v>
      </c>
      <c r="G238" s="355" t="s">
        <v>13459</v>
      </c>
      <c r="H238" s="358" t="s">
        <v>16500</v>
      </c>
      <c r="I238" s="359" t="s">
        <v>1825</v>
      </c>
      <c r="J238" s="359" t="s">
        <v>12338</v>
      </c>
      <c r="K238" s="360" t="s">
        <v>16501</v>
      </c>
      <c r="L238" s="360" t="s">
        <v>16502</v>
      </c>
      <c r="M238" s="360"/>
      <c r="N238" s="360"/>
      <c r="O238" s="360" t="s">
        <v>15712</v>
      </c>
      <c r="P238" s="361"/>
      <c r="Q238" s="362"/>
      <c r="R238" s="215" t="str">
        <f ca="1">IF(ISERROR($V238),"",OFFSET('Smelter Look-up'!$C$4,$V238-4,0)&amp;"")</f>
        <v>Nghe Tinh Non-Ferrous Metals Joint Stock Company</v>
      </c>
      <c r="S238" s="222" t="str">
        <f t="shared" ca="1" si="30"/>
        <v>VN</v>
      </c>
      <c r="T238" s="222" t="str">
        <f ca="1">IF(B238="","",IF(ISERROR(MATCH($J238,SorP!$B$1:$B$6230,0)),"",INDIRECT("'SorP'!$A$"&amp;MATCH($J238,SorP!$B$1:$B$6230,0))))</f>
        <v>VN-22</v>
      </c>
      <c r="U238" s="238"/>
      <c r="V238" s="270">
        <f>IF(C238="",NA(),MATCH($B238&amp;$C238,'Smelter Look-up'!$J:$J,0))</f>
        <v>466</v>
      </c>
      <c r="W238" s="271"/>
      <c r="X238" s="271">
        <f t="shared" si="31"/>
        <v>0</v>
      </c>
      <c r="Y238" s="271"/>
      <c r="Z238" s="271"/>
      <c r="AB238" s="273" t="str">
        <f t="shared" si="32"/>
        <v>TinNghe Tinh Non-Ferrous Metals Joint Stock Company</v>
      </c>
    </row>
    <row r="239" spans="1:28" s="272" customFormat="1" ht="25.5">
      <c r="A239" s="363" t="s">
        <v>1722</v>
      </c>
      <c r="B239" s="355" t="s">
        <v>1130</v>
      </c>
      <c r="C239" s="356" t="s">
        <v>2234</v>
      </c>
      <c r="D239" s="357"/>
      <c r="E239" s="355" t="s">
        <v>16125</v>
      </c>
      <c r="F239" s="355" t="s">
        <v>1722</v>
      </c>
      <c r="G239" s="355" t="s">
        <v>13459</v>
      </c>
      <c r="H239" s="358" t="s">
        <v>16503</v>
      </c>
      <c r="I239" s="359" t="s">
        <v>1723</v>
      </c>
      <c r="J239" s="359" t="s">
        <v>6576</v>
      </c>
      <c r="K239" s="360" t="s">
        <v>2381</v>
      </c>
      <c r="L239" s="360" t="s">
        <v>16504</v>
      </c>
      <c r="M239" s="360"/>
      <c r="N239" s="360"/>
      <c r="O239" s="360" t="s">
        <v>16505</v>
      </c>
      <c r="P239" s="361"/>
      <c r="Q239" s="362"/>
      <c r="R239" s="215" t="str">
        <f ca="1">IF(ISERROR($V239),"",OFFSET('Smelter Look-up'!$C$4,$V239-4,0)&amp;"")</f>
        <v>T.C.A S.p.A</v>
      </c>
      <c r="S239" s="222" t="str">
        <f t="shared" ca="1" si="30"/>
        <v>IT</v>
      </c>
      <c r="T239" s="222" t="str">
        <f ca="1">IF(B239="","",IF(ISERROR(MATCH($J239,SorP!$B$1:$B$6230,0)),"",INDIRECT("'SorP'!$A$"&amp;MATCH($J239,SorP!$B$1:$B$6230,0))))</f>
        <v>IT-52</v>
      </c>
      <c r="U239" s="238"/>
      <c r="V239" s="270">
        <f>IF(C239="",NA(),MATCH($B239&amp;$C239,'Smelter Look-up'!$J:$J,0))</f>
        <v>262</v>
      </c>
      <c r="W239" s="271"/>
      <c r="X239" s="271">
        <f t="shared" si="31"/>
        <v>0</v>
      </c>
      <c r="Y239" s="271"/>
      <c r="Z239" s="271"/>
      <c r="AB239" s="273" t="str">
        <f t="shared" si="32"/>
        <v>GoldT.C.A S.p.A</v>
      </c>
    </row>
    <row r="240" spans="1:28" s="272" customFormat="1" ht="38.25">
      <c r="A240" s="363" t="s">
        <v>1720</v>
      </c>
      <c r="B240" s="355" t="s">
        <v>1130</v>
      </c>
      <c r="C240" s="356" t="s">
        <v>1719</v>
      </c>
      <c r="D240" s="357"/>
      <c r="E240" s="355" t="s">
        <v>16506</v>
      </c>
      <c r="F240" s="355" t="s">
        <v>1720</v>
      </c>
      <c r="G240" s="355" t="s">
        <v>13459</v>
      </c>
      <c r="H240" s="358" t="s">
        <v>16507</v>
      </c>
      <c r="I240" s="359" t="s">
        <v>1721</v>
      </c>
      <c r="J240" s="359" t="s">
        <v>1721</v>
      </c>
      <c r="K240" s="360" t="s">
        <v>15625</v>
      </c>
      <c r="L240" s="360" t="s">
        <v>16508</v>
      </c>
      <c r="M240" s="360"/>
      <c r="N240" s="360"/>
      <c r="O240" s="360" t="s">
        <v>16509</v>
      </c>
      <c r="P240" s="361"/>
      <c r="Q240" s="362"/>
      <c r="R240" s="215" t="str">
        <f ca="1">IF(ISERROR($V240),"",OFFSET('Smelter Look-up'!$C$4,$V240-4,0)&amp;"")</f>
        <v>Sudan Gold Refinery</v>
      </c>
      <c r="S240" s="222" t="str">
        <f t="shared" ref="S240" ca="1" si="33">IF(B240="","",IF(ISERROR(MATCH($E240,CL,0)),"Unknown",INDIRECT("'C'!$A$"&amp;MATCH($E240,CL,0)+1)))</f>
        <v>SD</v>
      </c>
      <c r="T240" s="222" t="str">
        <f ca="1">IF(B240="","",IF(ISERROR(MATCH($J240,SorP!$B$1:$B$6230,0)),"",INDIRECT("'SorP'!$A$"&amp;MATCH($J240,SorP!$B$1:$B$6230,0))))</f>
        <v>SD-KH</v>
      </c>
      <c r="U240" s="238"/>
      <c r="V240" s="270">
        <f>IF(C240="",NA(),MATCH($B240&amp;$C240,'Smelter Look-up'!$J:$J,0))</f>
        <v>257</v>
      </c>
      <c r="W240" s="271"/>
      <c r="X240" s="271">
        <f t="shared" ref="X240" si="34">IF(AND(C240="Smelter not listed",OR(LEN(D240)=0,LEN(E240)=0)),1,0)</f>
        <v>0</v>
      </c>
      <c r="Y240" s="271"/>
      <c r="Z240" s="271"/>
      <c r="AB240" s="273" t="str">
        <f t="shared" ref="AB240" si="35">B240&amp;C240</f>
        <v>GoldSudan Gold Refinery</v>
      </c>
    </row>
    <row r="241" spans="1:28" s="272" customFormat="1" ht="63.75">
      <c r="A241" s="363" t="s">
        <v>13138</v>
      </c>
      <c r="B241" s="355" t="s">
        <v>1130</v>
      </c>
      <c r="C241" s="356" t="s">
        <v>13137</v>
      </c>
      <c r="D241" s="357"/>
      <c r="E241" s="355" t="s">
        <v>15751</v>
      </c>
      <c r="F241" s="355" t="s">
        <v>13138</v>
      </c>
      <c r="G241" s="355" t="s">
        <v>13459</v>
      </c>
      <c r="H241" s="358" t="s">
        <v>16510</v>
      </c>
      <c r="I241" s="359" t="s">
        <v>13157</v>
      </c>
      <c r="J241" s="359" t="s">
        <v>13085</v>
      </c>
      <c r="K241" s="360" t="s">
        <v>16511</v>
      </c>
      <c r="L241" s="360" t="s">
        <v>16512</v>
      </c>
      <c r="M241" s="360"/>
      <c r="N241" s="360"/>
      <c r="O241" s="360" t="s">
        <v>15888</v>
      </c>
      <c r="P241" s="361"/>
      <c r="Q241" s="362"/>
      <c r="R241" s="215" t="str">
        <f ca="1">IF(ISERROR($V241),"",OFFSET('Smelter Look-up'!$C$4,$V241-4,0)&amp;"")</f>
        <v>NH Recytech Company</v>
      </c>
      <c r="S241" s="222" t="str">
        <f t="shared" ref="S241:S272" ca="1" si="36">IF(B241="","",IF(ISERROR(MATCH($E241,CL,0)),"Unknown",INDIRECT("'C'!$A$"&amp;MATCH($E241,CL,0)+1)))</f>
        <v>KR</v>
      </c>
      <c r="T241" s="222" t="str">
        <f ca="1">IF(B241="","",IF(ISERROR(MATCH($J241,SorP!$B$1:$B$6230,0)),"",INDIRECT("'SorP'!$A$"&amp;MATCH($J241,SorP!$B$1:$B$6230,0))))</f>
        <v>KR-41</v>
      </c>
      <c r="U241" s="238"/>
      <c r="V241" s="270">
        <f>IF(C241="",NA(),MATCH($B241&amp;$C241,'Smelter Look-up'!$J:$J,0))</f>
        <v>187</v>
      </c>
      <c r="W241" s="271"/>
      <c r="X241" s="271">
        <f t="shared" ref="X241:X272" si="37">IF(AND(C241="Smelter not listed",OR(LEN(D241)=0,LEN(E241)=0)),1,0)</f>
        <v>0</v>
      </c>
      <c r="Y241" s="271"/>
      <c r="Z241" s="271"/>
      <c r="AB241" s="273" t="str">
        <f t="shared" ref="AB241:AB272" si="38">B241&amp;C241</f>
        <v>GoldNH Recytech Company</v>
      </c>
    </row>
    <row r="242" spans="1:28" s="272" customFormat="1" ht="84.75" customHeight="1">
      <c r="A242" s="363" t="s">
        <v>1827</v>
      </c>
      <c r="B242" s="355" t="s">
        <v>1131</v>
      </c>
      <c r="C242" s="356" t="s">
        <v>1826</v>
      </c>
      <c r="D242" s="357"/>
      <c r="E242" s="355" t="s">
        <v>15836</v>
      </c>
      <c r="F242" s="355" t="s">
        <v>1827</v>
      </c>
      <c r="G242" s="355" t="s">
        <v>13459</v>
      </c>
      <c r="H242" s="358" t="s">
        <v>16513</v>
      </c>
      <c r="I242" s="359" t="s">
        <v>1828</v>
      </c>
      <c r="J242" s="359" t="s">
        <v>12366</v>
      </c>
      <c r="K242" s="360" t="s">
        <v>16514</v>
      </c>
      <c r="L242" s="360" t="s">
        <v>16515</v>
      </c>
      <c r="M242" s="360"/>
      <c r="N242" s="360"/>
      <c r="O242" s="360" t="s">
        <v>16516</v>
      </c>
      <c r="P242" s="361"/>
      <c r="Q242" s="362"/>
      <c r="R242" s="215" t="str">
        <f ca="1">IF(ISERROR($V242),"",OFFSET('Smelter Look-up'!$C$4,$V242-4,0)&amp;"")</f>
        <v>Tuyen Quang Non-Ferrous Metals Joint Stock Company</v>
      </c>
      <c r="S242" s="222" t="str">
        <f t="shared" ca="1" si="36"/>
        <v>VN</v>
      </c>
      <c r="T242" s="222" t="str">
        <f ca="1">IF(B242="","",IF(ISERROR(MATCH($J242,SorP!$B$1:$B$6230,0)),"",INDIRECT("'SorP'!$A$"&amp;MATCH($J242,SorP!$B$1:$B$6230,0))))</f>
        <v>VN-07</v>
      </c>
      <c r="U242" s="238"/>
      <c r="V242" s="270">
        <f>IF(C242="",NA(),MATCH($B242&amp;$C242,'Smelter Look-up'!$J:$J,0))</f>
        <v>509</v>
      </c>
      <c r="W242" s="271"/>
      <c r="X242" s="271">
        <f t="shared" si="37"/>
        <v>0</v>
      </c>
      <c r="Y242" s="271"/>
      <c r="Z242" s="271"/>
      <c r="AB242" s="273" t="str">
        <f t="shared" si="38"/>
        <v>TinTuyen Quang Non-Ferrous Metals Joint Stock Company</v>
      </c>
    </row>
    <row r="243" spans="1:28" s="272" customFormat="1" ht="77.25" customHeight="1">
      <c r="A243" s="363" t="s">
        <v>1713</v>
      </c>
      <c r="B243" s="355" t="s">
        <v>1130</v>
      </c>
      <c r="C243" s="356" t="s">
        <v>1712</v>
      </c>
      <c r="D243" s="357"/>
      <c r="E243" s="355" t="s">
        <v>16314</v>
      </c>
      <c r="F243" s="355" t="s">
        <v>1713</v>
      </c>
      <c r="G243" s="355" t="s">
        <v>13459</v>
      </c>
      <c r="H243" s="358" t="s">
        <v>16517</v>
      </c>
      <c r="I243" s="359" t="s">
        <v>1714</v>
      </c>
      <c r="J243" s="359" t="s">
        <v>2610</v>
      </c>
      <c r="K243" s="360" t="s">
        <v>16518</v>
      </c>
      <c r="L243" s="360" t="s">
        <v>16519</v>
      </c>
      <c r="M243" s="360"/>
      <c r="N243" s="360"/>
      <c r="O243" s="360" t="s">
        <v>16520</v>
      </c>
      <c r="P243" s="361"/>
      <c r="Q243" s="362"/>
      <c r="R243" s="215" t="str">
        <f ca="1">IF(ISERROR($V243),"",OFFSET('Smelter Look-up'!$C$4,$V243-4,0)&amp;"")</f>
        <v>Al Etihad Gold Refinery DMCC</v>
      </c>
      <c r="S243" s="222" t="str">
        <f t="shared" ca="1" si="36"/>
        <v>AE</v>
      </c>
      <c r="T243" s="222" t="str">
        <f ca="1">IF(B243="","",IF(ISERROR(MATCH($J243,SorP!$B$1:$B$6230,0)),"",INDIRECT("'SorP'!$A$"&amp;MATCH($J243,SorP!$B$1:$B$6230,0))))</f>
        <v>AE-DU</v>
      </c>
      <c r="U243" s="238"/>
      <c r="V243" s="270">
        <f>IF(C243="",NA(),MATCH($B243&amp;$C243,'Smelter Look-up'!$J:$J,0))</f>
        <v>14</v>
      </c>
      <c r="W243" s="271"/>
      <c r="X243" s="271">
        <f t="shared" si="37"/>
        <v>0</v>
      </c>
      <c r="Y243" s="271"/>
      <c r="Z243" s="271"/>
      <c r="AB243" s="273" t="str">
        <f t="shared" si="38"/>
        <v>GoldAl Etihad Gold Refinery DMCC</v>
      </c>
    </row>
    <row r="244" spans="1:28" s="272" customFormat="1" ht="51">
      <c r="A244" s="363" t="s">
        <v>15383</v>
      </c>
      <c r="B244" s="355" t="s">
        <v>1131</v>
      </c>
      <c r="C244" s="356" t="s">
        <v>15382</v>
      </c>
      <c r="D244" s="357"/>
      <c r="E244" s="355" t="s">
        <v>15669</v>
      </c>
      <c r="F244" s="355" t="s">
        <v>15383</v>
      </c>
      <c r="G244" s="355" t="s">
        <v>13459</v>
      </c>
      <c r="H244" s="358"/>
      <c r="I244" s="359" t="s">
        <v>15438</v>
      </c>
      <c r="J244" s="359" t="s">
        <v>13066</v>
      </c>
      <c r="K244" s="360" t="s">
        <v>16026</v>
      </c>
      <c r="L244" s="360" t="s">
        <v>16521</v>
      </c>
      <c r="M244" s="360"/>
      <c r="N244" s="360"/>
      <c r="O244" s="360"/>
      <c r="P244" s="361"/>
      <c r="Q244" s="362"/>
      <c r="R244" s="215" t="str">
        <f ca="1">IF(ISERROR($V244),"",OFFSET('Smelter Look-up'!$C$4,$V244-4,0)&amp;"")</f>
        <v>CV Venus Inti Perkasa</v>
      </c>
      <c r="S244" s="222" t="str">
        <f t="shared" ca="1" si="36"/>
        <v>ID</v>
      </c>
      <c r="T244" s="222" t="str">
        <f ca="1">IF(B244="","",IF(ISERROR(MATCH($J244,SorP!$B$1:$B$6230,0)),"",INDIRECT("'SorP'!$A$"&amp;MATCH($J244,SorP!$B$1:$B$6230,0))))</f>
        <v>ID-BB</v>
      </c>
      <c r="U244" s="238"/>
      <c r="V244" s="270">
        <f>IF(C244="",NA(),MATCH($B244&amp;$C244,'Smelter Look-up'!$J:$J,0))</f>
        <v>407</v>
      </c>
      <c r="W244" s="271"/>
      <c r="X244" s="271">
        <f t="shared" si="37"/>
        <v>0</v>
      </c>
      <c r="Y244" s="271"/>
      <c r="Z244" s="271"/>
      <c r="AB244" s="273" t="str">
        <f t="shared" si="38"/>
        <v>TinCV Venus Inti Perkasa</v>
      </c>
    </row>
    <row r="245" spans="1:28" s="272" customFormat="1" ht="94.5" customHeight="1">
      <c r="A245" s="363" t="s">
        <v>139</v>
      </c>
      <c r="B245" s="355" t="s">
        <v>1131</v>
      </c>
      <c r="C245" s="356" t="s">
        <v>2184</v>
      </c>
      <c r="D245" s="357"/>
      <c r="E245" s="355" t="s">
        <v>15626</v>
      </c>
      <c r="F245" s="355" t="s">
        <v>139</v>
      </c>
      <c r="G245" s="355" t="s">
        <v>13459</v>
      </c>
      <c r="H245" s="358" t="s">
        <v>16522</v>
      </c>
      <c r="I245" s="359" t="s">
        <v>1732</v>
      </c>
      <c r="J245" s="359" t="s">
        <v>1554</v>
      </c>
      <c r="K245" s="360" t="s">
        <v>16523</v>
      </c>
      <c r="L245" s="360" t="s">
        <v>16524</v>
      </c>
      <c r="M245" s="360"/>
      <c r="N245" s="360"/>
      <c r="O245" s="360" t="s">
        <v>16525</v>
      </c>
      <c r="P245" s="361"/>
      <c r="Q245" s="362"/>
      <c r="R245" s="215" t="str">
        <f ca="1">IF(ISERROR($V245),"",OFFSET('Smelter Look-up'!$C$4,$V245-4,0)&amp;"")</f>
        <v>Magnu's Minerais Metais e Ligas Ltda.</v>
      </c>
      <c r="S245" s="222" t="str">
        <f t="shared" ca="1" si="36"/>
        <v>BR</v>
      </c>
      <c r="T245" s="222" t="str">
        <f ca="1">IF(B245="","",IF(ISERROR(MATCH($J245,SorP!$B$1:$B$6230,0)),"",INDIRECT("'SorP'!$A$"&amp;MATCH($J245,SorP!$B$1:$B$6230,0))))</f>
        <v>BR-MG</v>
      </c>
      <c r="U245" s="238"/>
      <c r="V245" s="270">
        <f>IF(C245="",NA(),MATCH($B245&amp;$C245,'Smelter Look-up'!$J:$J,0))</f>
        <v>448</v>
      </c>
      <c r="W245" s="271"/>
      <c r="X245" s="271">
        <f t="shared" si="37"/>
        <v>0</v>
      </c>
      <c r="Y245" s="271"/>
      <c r="Z245" s="271"/>
      <c r="AB245" s="273" t="str">
        <f t="shared" si="38"/>
        <v>TinMagnu's Minerais Metais e Ligas Ltda.</v>
      </c>
    </row>
    <row r="246" spans="1:28" s="272" customFormat="1" ht="51">
      <c r="A246" s="363" t="s">
        <v>1703</v>
      </c>
      <c r="B246" s="355" t="s">
        <v>1130</v>
      </c>
      <c r="C246" s="356" t="s">
        <v>1702</v>
      </c>
      <c r="D246" s="357"/>
      <c r="E246" s="355" t="s">
        <v>15631</v>
      </c>
      <c r="F246" s="355" t="s">
        <v>1703</v>
      </c>
      <c r="G246" s="355" t="s">
        <v>13459</v>
      </c>
      <c r="H246" s="358" t="s">
        <v>16526</v>
      </c>
      <c r="I246" s="359" t="s">
        <v>1545</v>
      </c>
      <c r="J246" s="359" t="s">
        <v>1546</v>
      </c>
      <c r="K246" s="360" t="s">
        <v>16527</v>
      </c>
      <c r="L246" s="360" t="s">
        <v>16528</v>
      </c>
      <c r="M246" s="360"/>
      <c r="N246" s="360"/>
      <c r="O246" s="360" t="s">
        <v>16529</v>
      </c>
      <c r="P246" s="361"/>
      <c r="Q246" s="362"/>
      <c r="R246" s="215" t="str">
        <f ca="1">IF(ISERROR($V246),"",OFFSET('Smelter Look-up'!$C$4,$V246-4,0)&amp;"")</f>
        <v>Geib Refining Corporation</v>
      </c>
      <c r="S246" s="222" t="str">
        <f t="shared" ca="1" si="36"/>
        <v>US</v>
      </c>
      <c r="T246" s="222" t="str">
        <f ca="1">IF(B246="","",IF(ISERROR(MATCH($J246,SorP!$B$1:$B$6230,0)),"",INDIRECT("'SorP'!$A$"&amp;MATCH($J246,SorP!$B$1:$B$6230,0))))</f>
        <v>US-RI</v>
      </c>
      <c r="U246" s="238"/>
      <c r="V246" s="270">
        <f>IF(C246="",NA(),MATCH($B246&amp;$C246,'Smelter Look-up'!$J:$J,0))</f>
        <v>85</v>
      </c>
      <c r="W246" s="271"/>
      <c r="X246" s="271">
        <f t="shared" si="37"/>
        <v>0</v>
      </c>
      <c r="Y246" s="271"/>
      <c r="Z246" s="271"/>
      <c r="AB246" s="273" t="str">
        <f t="shared" si="38"/>
        <v>GoldGeib Refining Corporation</v>
      </c>
    </row>
    <row r="247" spans="1:28" s="272" customFormat="1" ht="63.75">
      <c r="A247" s="363" t="s">
        <v>2465</v>
      </c>
      <c r="B247" s="355" t="s">
        <v>1130</v>
      </c>
      <c r="C247" s="356" t="s">
        <v>2464</v>
      </c>
      <c r="D247" s="357"/>
      <c r="E247" s="355" t="s">
        <v>15631</v>
      </c>
      <c r="F247" s="355" t="s">
        <v>2465</v>
      </c>
      <c r="G247" s="355" t="s">
        <v>13459</v>
      </c>
      <c r="H247" s="358" t="s">
        <v>16530</v>
      </c>
      <c r="I247" s="359" t="s">
        <v>2466</v>
      </c>
      <c r="J247" s="359" t="s">
        <v>1749</v>
      </c>
      <c r="K247" s="360" t="s">
        <v>16531</v>
      </c>
      <c r="L247" s="360" t="s">
        <v>16532</v>
      </c>
      <c r="M247" s="360"/>
      <c r="N247" s="360"/>
      <c r="O247" s="360" t="s">
        <v>15938</v>
      </c>
      <c r="P247" s="361"/>
      <c r="Q247" s="362"/>
      <c r="R247" s="215" t="str">
        <f ca="1">IF(ISERROR($V247),"",OFFSET('Smelter Look-up'!$C$4,$V247-4,0)&amp;"")</f>
        <v>Abington Reldan Metals, LLC</v>
      </c>
      <c r="S247" s="222" t="str">
        <f t="shared" ca="1" si="36"/>
        <v>US</v>
      </c>
      <c r="T247" s="222" t="str">
        <f ca="1">IF(B247="","",IF(ISERROR(MATCH($J247,SorP!$B$1:$B$6230,0)),"",INDIRECT("'SorP'!$A$"&amp;MATCH($J247,SorP!$B$1:$B$6230,0))))</f>
        <v>US-PA</v>
      </c>
      <c r="U247" s="238"/>
      <c r="V247" s="270">
        <f>IF(C247="",NA(),MATCH($B247&amp;$C247,'Smelter Look-up'!$J:$J,0))</f>
        <v>6</v>
      </c>
      <c r="W247" s="271"/>
      <c r="X247" s="271">
        <f t="shared" si="37"/>
        <v>0</v>
      </c>
      <c r="Y247" s="271"/>
      <c r="Z247" s="271"/>
      <c r="AB247" s="273" t="str">
        <f t="shared" si="38"/>
        <v>GoldAbington Reldan Metals, LLC</v>
      </c>
    </row>
    <row r="248" spans="1:28" s="272" customFormat="1" ht="63.75">
      <c r="A248" s="363" t="s">
        <v>1396</v>
      </c>
      <c r="B248" s="355" t="s">
        <v>1132</v>
      </c>
      <c r="C248" s="356" t="s">
        <v>1395</v>
      </c>
      <c r="D248" s="357"/>
      <c r="E248" s="355" t="s">
        <v>15631</v>
      </c>
      <c r="F248" s="355" t="s">
        <v>1396</v>
      </c>
      <c r="G248" s="355" t="s">
        <v>13459</v>
      </c>
      <c r="H248" s="358" t="s">
        <v>16533</v>
      </c>
      <c r="I248" s="359" t="s">
        <v>1753</v>
      </c>
      <c r="J248" s="359" t="s">
        <v>1754</v>
      </c>
      <c r="K248" s="360" t="s">
        <v>16534</v>
      </c>
      <c r="L248" s="360" t="s">
        <v>16535</v>
      </c>
      <c r="M248" s="360"/>
      <c r="N248" s="360"/>
      <c r="O248" s="360" t="s">
        <v>16536</v>
      </c>
      <c r="P248" s="361"/>
      <c r="Q248" s="362"/>
      <c r="R248" s="215" t="str">
        <f ca="1">IF(ISERROR($V248),"",OFFSET('Smelter Look-up'!$C$4,$V248-4,0)&amp;"")</f>
        <v>D Block Metals, LLC</v>
      </c>
      <c r="S248" s="222" t="str">
        <f t="shared" ca="1" si="36"/>
        <v>US</v>
      </c>
      <c r="T248" s="222" t="str">
        <f ca="1">IF(B248="","",IF(ISERROR(MATCH($J248,SorP!$B$1:$B$6230,0)),"",INDIRECT("'SorP'!$A$"&amp;MATCH($J248,SorP!$B$1:$B$6230,0))))</f>
        <v>US-NC</v>
      </c>
      <c r="U248" s="238"/>
      <c r="V248" s="270">
        <f>IF(C248="",NA(),MATCH($B248&amp;$C248,'Smelter Look-up'!$J:$J,0))</f>
        <v>318</v>
      </c>
      <c r="W248" s="271"/>
      <c r="X248" s="271">
        <f t="shared" si="37"/>
        <v>0</v>
      </c>
      <c r="Y248" s="271"/>
      <c r="Z248" s="271"/>
      <c r="AB248" s="273" t="str">
        <f t="shared" si="38"/>
        <v>TantalumD Block Metals, LLC</v>
      </c>
    </row>
    <row r="249" spans="1:28" s="272" customFormat="1" ht="102.75" customHeight="1">
      <c r="A249" s="363" t="s">
        <v>1397</v>
      </c>
      <c r="B249" s="355" t="s">
        <v>1132</v>
      </c>
      <c r="C249" s="356" t="s">
        <v>2185</v>
      </c>
      <c r="D249" s="357"/>
      <c r="E249" s="355" t="s">
        <v>15646</v>
      </c>
      <c r="F249" s="355" t="s">
        <v>1397</v>
      </c>
      <c r="G249" s="355" t="s">
        <v>13459</v>
      </c>
      <c r="H249" s="358" t="s">
        <v>16537</v>
      </c>
      <c r="I249" s="359" t="s">
        <v>1744</v>
      </c>
      <c r="J249" s="359" t="s">
        <v>13846</v>
      </c>
      <c r="K249" s="360" t="s">
        <v>16538</v>
      </c>
      <c r="L249" s="360" t="s">
        <v>16539</v>
      </c>
      <c r="M249" s="360"/>
      <c r="N249" s="360"/>
      <c r="O249" s="360" t="s">
        <v>16540</v>
      </c>
      <c r="P249" s="361"/>
      <c r="Q249" s="362"/>
      <c r="R249" s="215" t="str">
        <f ca="1">IF(ISERROR($V249),"",OFFSET('Smelter Look-up'!$C$4,$V249-4,0)&amp;"")</f>
        <v>FIR Metals &amp; Resource Ltd.</v>
      </c>
      <c r="S249" s="222" t="str">
        <f t="shared" ca="1" si="36"/>
        <v>CN</v>
      </c>
      <c r="T249" s="222" t="str">
        <f ca="1">IF(B249="","",IF(ISERROR(MATCH($J249,SorP!$B$1:$B$6230,0)),"",INDIRECT("'SorP'!$A$"&amp;MATCH($J249,SorP!$B$1:$B$6230,0))))</f>
        <v>CN-HN</v>
      </c>
      <c r="U249" s="238"/>
      <c r="V249" s="270">
        <f>IF(C249="",NA(),MATCH($B249&amp;$C249,'Smelter Look-up'!$J:$J,0))</f>
        <v>322</v>
      </c>
      <c r="W249" s="271"/>
      <c r="X249" s="271">
        <f t="shared" si="37"/>
        <v>0</v>
      </c>
      <c r="Y249" s="271"/>
      <c r="Z249" s="271"/>
      <c r="AB249" s="273" t="str">
        <f t="shared" si="38"/>
        <v>TantalumFIR Metals &amp; Resource Ltd.</v>
      </c>
    </row>
    <row r="250" spans="1:28" s="272" customFormat="1" ht="79.5" customHeight="1">
      <c r="A250" s="363" t="s">
        <v>1404</v>
      </c>
      <c r="B250" s="355" t="s">
        <v>1131</v>
      </c>
      <c r="C250" s="356" t="s">
        <v>1403</v>
      </c>
      <c r="D250" s="357"/>
      <c r="E250" s="355" t="s">
        <v>15669</v>
      </c>
      <c r="F250" s="355" t="s">
        <v>1404</v>
      </c>
      <c r="G250" s="355" t="s">
        <v>13459</v>
      </c>
      <c r="H250" s="358" t="s">
        <v>16541</v>
      </c>
      <c r="I250" s="359" t="s">
        <v>1780</v>
      </c>
      <c r="J250" s="359" t="s">
        <v>13066</v>
      </c>
      <c r="K250" s="360" t="s">
        <v>16542</v>
      </c>
      <c r="L250" s="360" t="s">
        <v>16543</v>
      </c>
      <c r="M250" s="360"/>
      <c r="N250" s="360"/>
      <c r="O250" s="360" t="s">
        <v>16544</v>
      </c>
      <c r="P250" s="361"/>
      <c r="Q250" s="362"/>
      <c r="R250" s="215" t="str">
        <f ca="1">IF(ISERROR($V250),"",OFFSET('Smelter Look-up'!$C$4,$V250-4,0)&amp;"")</f>
        <v>PT ATD Makmur Mandiri Jaya</v>
      </c>
      <c r="S250" s="222" t="str">
        <f t="shared" ca="1" si="36"/>
        <v>ID</v>
      </c>
      <c r="T250" s="222" t="str">
        <f ca="1">IF(B250="","",IF(ISERROR(MATCH($J250,SorP!$B$1:$B$6230,0)),"",INDIRECT("'SorP'!$A$"&amp;MATCH($J250,SorP!$B$1:$B$6230,0))))</f>
        <v>ID-BB</v>
      </c>
      <c r="U250" s="238"/>
      <c r="V250" s="270">
        <f>IF(C250="",NA(),MATCH($B250&amp;$C250,'Smelter Look-up'!$J:$J,0))</f>
        <v>477</v>
      </c>
      <c r="W250" s="271"/>
      <c r="X250" s="271">
        <f t="shared" si="37"/>
        <v>0</v>
      </c>
      <c r="Y250" s="271"/>
      <c r="Z250" s="271"/>
      <c r="AB250" s="273" t="str">
        <f t="shared" si="38"/>
        <v>TinPT ATD Makmur Mandiri Jaya</v>
      </c>
    </row>
    <row r="251" spans="1:28" s="272" customFormat="1" ht="89.25">
      <c r="A251" s="363" t="s">
        <v>2479</v>
      </c>
      <c r="B251" s="355" t="s">
        <v>1133</v>
      </c>
      <c r="C251" s="356" t="s">
        <v>2478</v>
      </c>
      <c r="D251" s="357"/>
      <c r="E251" s="355" t="s">
        <v>15697</v>
      </c>
      <c r="F251" s="355" t="s">
        <v>2479</v>
      </c>
      <c r="G251" s="355" t="s">
        <v>13459</v>
      </c>
      <c r="H251" s="358" t="s">
        <v>16545</v>
      </c>
      <c r="I251" s="359" t="s">
        <v>2574</v>
      </c>
      <c r="J251" s="359" t="s">
        <v>10156</v>
      </c>
      <c r="K251" s="360" t="s">
        <v>16546</v>
      </c>
      <c r="L251" s="360" t="s">
        <v>16547</v>
      </c>
      <c r="M251" s="360"/>
      <c r="N251" s="360"/>
      <c r="O251" s="360" t="s">
        <v>16548</v>
      </c>
      <c r="P251" s="361"/>
      <c r="Q251" s="362"/>
      <c r="R251" s="215" t="str">
        <f ca="1">IF(ISERROR($V251),"",OFFSET('Smelter Look-up'!$C$4,$V251-4,0)&amp;"")</f>
        <v>Unecha Refractory metals plant</v>
      </c>
      <c r="S251" s="222" t="str">
        <f t="shared" ca="1" si="36"/>
        <v>RU</v>
      </c>
      <c r="T251" s="222" t="str">
        <f ca="1">IF(B251="","",IF(ISERROR(MATCH($J251,SorP!$B$1:$B$6230,0)),"",INDIRECT("'SorP'!$A$"&amp;MATCH($J251,SorP!$B$1:$B$6230,0))))</f>
        <v>RU-BRY</v>
      </c>
      <c r="U251" s="238"/>
      <c r="V251" s="270">
        <f>IF(C251="",NA(),MATCH($B251&amp;$C251,'Smelter Look-up'!$J:$J,0))</f>
        <v>597</v>
      </c>
      <c r="W251" s="271"/>
      <c r="X251" s="271">
        <f t="shared" si="37"/>
        <v>0</v>
      </c>
      <c r="Y251" s="271"/>
      <c r="Z251" s="271"/>
      <c r="AB251" s="273" t="str">
        <f t="shared" si="38"/>
        <v>TungstenUnecha Refractory metals plant</v>
      </c>
    </row>
    <row r="252" spans="1:28" s="272" customFormat="1" ht="86.25" customHeight="1">
      <c r="A252" s="363" t="s">
        <v>2553</v>
      </c>
      <c r="B252" s="355" t="s">
        <v>1130</v>
      </c>
      <c r="C252" s="356" t="s">
        <v>2552</v>
      </c>
      <c r="D252" s="357"/>
      <c r="E252" s="355" t="s">
        <v>16549</v>
      </c>
      <c r="F252" s="355" t="s">
        <v>2553</v>
      </c>
      <c r="G252" s="355" t="s">
        <v>13459</v>
      </c>
      <c r="H252" s="358" t="s">
        <v>16550</v>
      </c>
      <c r="I252" s="359" t="s">
        <v>2554</v>
      </c>
      <c r="J252" s="359" t="s">
        <v>2554</v>
      </c>
      <c r="K252" s="360" t="s">
        <v>16551</v>
      </c>
      <c r="L252" s="360" t="s">
        <v>16552</v>
      </c>
      <c r="M252" s="360"/>
      <c r="N252" s="360"/>
      <c r="O252" s="360" t="s">
        <v>16549</v>
      </c>
      <c r="P252" s="361"/>
      <c r="Q252" s="362"/>
      <c r="R252" s="215" t="str">
        <f ca="1">IF(ISERROR($V252),"",OFFSET('Smelter Look-up'!$C$4,$V252-4,0)&amp;"")</f>
        <v>State Research Institute Center for Physical Sciences and Technology</v>
      </c>
      <c r="S252" s="222" t="str">
        <f t="shared" ca="1" si="36"/>
        <v>LT</v>
      </c>
      <c r="T252" s="222" t="str">
        <f ca="1">IF(B252="","",IF(ISERROR(MATCH($J252,SorP!$B$1:$B$6230,0)),"",INDIRECT("'SorP'!$A$"&amp;MATCH($J252,SorP!$B$1:$B$6230,0))))</f>
        <v>LT-58</v>
      </c>
      <c r="U252" s="238"/>
      <c r="V252" s="270">
        <f>IF(C252="",NA(),MATCH($B252&amp;$C252,'Smelter Look-up'!$J:$J,0))</f>
        <v>256</v>
      </c>
      <c r="W252" s="271"/>
      <c r="X252" s="271">
        <f t="shared" si="37"/>
        <v>0</v>
      </c>
      <c r="Y252" s="271"/>
      <c r="Z252" s="271"/>
      <c r="AB252" s="273" t="str">
        <f t="shared" si="38"/>
        <v>GoldState Research Institute Center for Physical Sciences and Technology</v>
      </c>
    </row>
    <row r="253" spans="1:28" s="272" customFormat="1" ht="38.25">
      <c r="A253" s="363" t="s">
        <v>660</v>
      </c>
      <c r="B253" s="355" t="s">
        <v>1130</v>
      </c>
      <c r="C253" s="356" t="s">
        <v>1226</v>
      </c>
      <c r="D253" s="357"/>
      <c r="E253" s="355" t="s">
        <v>16553</v>
      </c>
      <c r="F253" s="355" t="s">
        <v>660</v>
      </c>
      <c r="G253" s="355" t="s">
        <v>13459</v>
      </c>
      <c r="H253" s="358" t="s">
        <v>16554</v>
      </c>
      <c r="I253" s="359" t="s">
        <v>1565</v>
      </c>
      <c r="J253" s="359" t="s">
        <v>10485</v>
      </c>
      <c r="K253" s="360" t="s">
        <v>16555</v>
      </c>
      <c r="L253" s="360" t="s">
        <v>16556</v>
      </c>
      <c r="M253" s="360"/>
      <c r="N253" s="360"/>
      <c r="O253" s="360" t="s">
        <v>16557</v>
      </c>
      <c r="P253" s="361"/>
      <c r="Q253" s="362"/>
      <c r="R253" s="215" t="str">
        <f ca="1">IF(ISERROR($V253),"",OFFSET('Smelter Look-up'!$C$4,$V253-4,0)&amp;"")</f>
        <v>Boliden AB</v>
      </c>
      <c r="S253" s="222" t="str">
        <f t="shared" ca="1" si="36"/>
        <v>SE</v>
      </c>
      <c r="T253" s="222" t="str">
        <f ca="1">IF(B253="","",IF(ISERROR(MATCH($J253,SorP!$B$1:$B$6230,0)),"",INDIRECT("'SorP'!$A$"&amp;MATCH($J253,SorP!$B$1:$B$6230,0))))</f>
        <v>SE-AC</v>
      </c>
      <c r="U253" s="238"/>
      <c r="V253" s="270">
        <f>IF(C253="",NA(),MATCH($B253&amp;$C253,'Smelter Look-up'!$J:$J,0))</f>
        <v>39</v>
      </c>
      <c r="W253" s="271"/>
      <c r="X253" s="271">
        <f t="shared" si="37"/>
        <v>0</v>
      </c>
      <c r="Y253" s="271"/>
      <c r="Z253" s="271"/>
      <c r="AB253" s="273" t="str">
        <f t="shared" si="38"/>
        <v>GoldBoliden AB</v>
      </c>
    </row>
    <row r="254" spans="1:28" s="272" customFormat="1" ht="94.5" customHeight="1">
      <c r="A254" s="363" t="s">
        <v>1399</v>
      </c>
      <c r="B254" s="355" t="s">
        <v>1132</v>
      </c>
      <c r="C254" s="356" t="s">
        <v>2186</v>
      </c>
      <c r="D254" s="357"/>
      <c r="E254" s="355" t="s">
        <v>15646</v>
      </c>
      <c r="F254" s="355" t="s">
        <v>1399</v>
      </c>
      <c r="G254" s="355" t="s">
        <v>13459</v>
      </c>
      <c r="H254" s="358" t="s">
        <v>16558</v>
      </c>
      <c r="I254" s="359" t="s">
        <v>1731</v>
      </c>
      <c r="J254" s="359" t="s">
        <v>13842</v>
      </c>
      <c r="K254" s="360" t="s">
        <v>16559</v>
      </c>
      <c r="L254" s="360" t="s">
        <v>16560</v>
      </c>
      <c r="M254" s="360"/>
      <c r="N254" s="360"/>
      <c r="O254" s="360" t="s">
        <v>16561</v>
      </c>
      <c r="P254" s="361"/>
      <c r="Q254" s="362"/>
      <c r="R254" s="215" t="str">
        <f ca="1">IF(ISERROR($V254),"",OFFSET('Smelter Look-up'!$C$4,$V254-4,0)&amp;"")</f>
        <v>Jiujiang Zhongao Tantalum &amp; Niobium Co., Ltd.</v>
      </c>
      <c r="S254" s="222" t="str">
        <f t="shared" ca="1" si="36"/>
        <v>CN</v>
      </c>
      <c r="T254" s="222" t="str">
        <f ca="1">IF(B254="","",IF(ISERROR(MATCH($J254,SorP!$B$1:$B$6230,0)),"",INDIRECT("'SorP'!$A$"&amp;MATCH($J254,SorP!$B$1:$B$6230,0))))</f>
        <v>CN-JX</v>
      </c>
      <c r="U254" s="238"/>
      <c r="V254" s="270">
        <f>IF(C254="",NA(),MATCH($B254&amp;$C254,'Smelter Look-up'!$J:$J,0))</f>
        <v>338</v>
      </c>
      <c r="W254" s="271"/>
      <c r="X254" s="271">
        <f t="shared" si="37"/>
        <v>0</v>
      </c>
      <c r="Y254" s="271"/>
      <c r="Z254" s="271"/>
      <c r="AB254" s="273" t="str">
        <f t="shared" si="38"/>
        <v>TantalumJiujiang Zhongao Tantalum &amp; Niobium Co., Ltd.</v>
      </c>
    </row>
    <row r="255" spans="1:28" s="272" customFormat="1" ht="72.75" customHeight="1">
      <c r="A255" s="363" t="s">
        <v>1830</v>
      </c>
      <c r="B255" s="355" t="s">
        <v>1131</v>
      </c>
      <c r="C255" s="356" t="s">
        <v>13149</v>
      </c>
      <c r="D255" s="357"/>
      <c r="E255" s="355" t="s">
        <v>15791</v>
      </c>
      <c r="F255" s="355" t="s">
        <v>1830</v>
      </c>
      <c r="G255" s="355" t="s">
        <v>13459</v>
      </c>
      <c r="H255" s="358" t="s">
        <v>16562</v>
      </c>
      <c r="I255" s="359" t="s">
        <v>1831</v>
      </c>
      <c r="J255" s="359" t="s">
        <v>3190</v>
      </c>
      <c r="K255" s="360" t="s">
        <v>16563</v>
      </c>
      <c r="L255" s="360" t="s">
        <v>16564</v>
      </c>
      <c r="M255" s="360"/>
      <c r="N255" s="360"/>
      <c r="O255" s="360" t="s">
        <v>16565</v>
      </c>
      <c r="P255" s="361"/>
      <c r="Q255" s="362"/>
      <c r="R255" s="215" t="str">
        <f ca="1">IF(ISERROR($V255),"",OFFSET('Smelter Look-up'!$C$4,$V255-4,0)&amp;"")</f>
        <v>Metallo Belgium N.V.</v>
      </c>
      <c r="S255" s="222" t="str">
        <f t="shared" ca="1" si="36"/>
        <v>BE</v>
      </c>
      <c r="T255" s="222" t="str">
        <f ca="1">IF(B255="","",IF(ISERROR(MATCH($J255,SorP!$B$1:$B$6230,0)),"",INDIRECT("'SorP'!$A$"&amp;MATCH($J255,SorP!$B$1:$B$6230,0))))</f>
        <v>BE-VAN</v>
      </c>
      <c r="U255" s="238"/>
      <c r="V255" s="270">
        <f>IF(C255="",NA(),MATCH($B255&amp;$C255,'Smelter Look-up'!$J:$J,0))</f>
        <v>454</v>
      </c>
      <c r="W255" s="271"/>
      <c r="X255" s="271">
        <f t="shared" si="37"/>
        <v>0</v>
      </c>
      <c r="Y255" s="271"/>
      <c r="Z255" s="271"/>
      <c r="AB255" s="273" t="str">
        <f t="shared" si="38"/>
        <v>TinMetallo Belgium N.V.</v>
      </c>
    </row>
    <row r="256" spans="1:28" s="272" customFormat="1" ht="109.5" customHeight="1">
      <c r="A256" s="363" t="s">
        <v>767</v>
      </c>
      <c r="B256" s="355" t="s">
        <v>1131</v>
      </c>
      <c r="C256" s="356" t="s">
        <v>842</v>
      </c>
      <c r="D256" s="357"/>
      <c r="E256" s="355" t="s">
        <v>15734</v>
      </c>
      <c r="F256" s="355" t="s">
        <v>767</v>
      </c>
      <c r="G256" s="355" t="s">
        <v>13459</v>
      </c>
      <c r="H256" s="358" t="s">
        <v>16566</v>
      </c>
      <c r="I256" s="359" t="s">
        <v>1782</v>
      </c>
      <c r="J256" s="359" t="s">
        <v>1782</v>
      </c>
      <c r="K256" s="360" t="s">
        <v>16567</v>
      </c>
      <c r="L256" s="360" t="s">
        <v>16568</v>
      </c>
      <c r="M256" s="360"/>
      <c r="N256" s="360"/>
      <c r="O256" s="360" t="s">
        <v>16569</v>
      </c>
      <c r="P256" s="361"/>
      <c r="Q256" s="362"/>
      <c r="R256" s="215" t="str">
        <f ca="1">IF(ISERROR($V256),"",OFFSET('Smelter Look-up'!$C$4,$V256-4,0)&amp;"")</f>
        <v>EM Vinto</v>
      </c>
      <c r="S256" s="222" t="str">
        <f t="shared" ca="1" si="36"/>
        <v>BO</v>
      </c>
      <c r="T256" s="222" t="str">
        <f ca="1">IF(B256="","",IF(ISERROR(MATCH($J256,SorP!$B$1:$B$6230,0)),"",INDIRECT("'SorP'!$A$"&amp;MATCH($J256,SorP!$B$1:$B$6230,0))))</f>
        <v>BO-O</v>
      </c>
      <c r="U256" s="238"/>
      <c r="V256" s="270">
        <f>IF(C256="",NA(),MATCH($B256&amp;$C256,'Smelter Look-up'!$J:$J,0))</f>
        <v>412</v>
      </c>
      <c r="W256" s="271"/>
      <c r="X256" s="271">
        <f t="shared" si="37"/>
        <v>0</v>
      </c>
      <c r="Y256" s="271"/>
      <c r="Z256" s="271"/>
      <c r="AB256" s="273" t="str">
        <f t="shared" si="38"/>
        <v>TinEM Vinto</v>
      </c>
    </row>
    <row r="257" spans="1:28" s="272" customFormat="1" ht="89.25">
      <c r="A257" s="363" t="s">
        <v>395</v>
      </c>
      <c r="B257" s="355" t="s">
        <v>1130</v>
      </c>
      <c r="C257" s="356" t="s">
        <v>394</v>
      </c>
      <c r="D257" s="357"/>
      <c r="E257" s="355" t="s">
        <v>15646</v>
      </c>
      <c r="F257" s="355" t="s">
        <v>395</v>
      </c>
      <c r="G257" s="355" t="s">
        <v>13459</v>
      </c>
      <c r="H257" s="358" t="s">
        <v>16570</v>
      </c>
      <c r="I257" s="359" t="s">
        <v>1594</v>
      </c>
      <c r="J257" s="359" t="s">
        <v>13839</v>
      </c>
      <c r="K257" s="360" t="s">
        <v>15625</v>
      </c>
      <c r="L257" s="360" t="s">
        <v>16571</v>
      </c>
      <c r="M257" s="360"/>
      <c r="N257" s="360"/>
      <c r="O257" s="360" t="s">
        <v>16572</v>
      </c>
      <c r="P257" s="361"/>
      <c r="Q257" s="362"/>
      <c r="R257" s="215" t="str">
        <f ca="1">IF(ISERROR($V257),"",OFFSET('Smelter Look-up'!$C$4,$V257-4,0)&amp;"")</f>
        <v>Hangzhou Fuchunjiang Smelting Co., Ltd.</v>
      </c>
      <c r="S257" s="222" t="str">
        <f t="shared" ca="1" si="36"/>
        <v>CN</v>
      </c>
      <c r="T257" s="222" t="str">
        <f ca="1">IF(B257="","",IF(ISERROR(MATCH($J257,SorP!$B$1:$B$6230,0)),"",INDIRECT("'SorP'!$A$"&amp;MATCH($J257,SorP!$B$1:$B$6230,0))))</f>
        <v>CN-ZJ</v>
      </c>
      <c r="U257" s="238"/>
      <c r="V257" s="270">
        <f>IF(C257="",NA(),MATCH($B257&amp;$C257,'Smelter Look-up'!$J:$J,0))</f>
        <v>95</v>
      </c>
      <c r="W257" s="271"/>
      <c r="X257" s="271">
        <f t="shared" si="37"/>
        <v>0</v>
      </c>
      <c r="Y257" s="271"/>
      <c r="Z257" s="271"/>
      <c r="AB257" s="273" t="str">
        <f t="shared" si="38"/>
        <v>GoldHangzhou Fuchunjiang Smelting Co., Ltd.</v>
      </c>
    </row>
    <row r="258" spans="1:28" s="272" customFormat="1" ht="108" customHeight="1">
      <c r="A258" s="363" t="s">
        <v>775</v>
      </c>
      <c r="B258" s="355" t="s">
        <v>1131</v>
      </c>
      <c r="C258" s="356" t="s">
        <v>12642</v>
      </c>
      <c r="D258" s="357"/>
      <c r="E258" s="355" t="s">
        <v>15626</v>
      </c>
      <c r="F258" s="355" t="s">
        <v>775</v>
      </c>
      <c r="G258" s="355" t="s">
        <v>13459</v>
      </c>
      <c r="H258" s="358" t="s">
        <v>16573</v>
      </c>
      <c r="I258" s="359" t="s">
        <v>1797</v>
      </c>
      <c r="J258" s="359" t="s">
        <v>1683</v>
      </c>
      <c r="K258" s="360" t="s">
        <v>16574</v>
      </c>
      <c r="L258" s="360" t="s">
        <v>16575</v>
      </c>
      <c r="M258" s="360"/>
      <c r="N258" s="360"/>
      <c r="O258" s="360" t="s">
        <v>16576</v>
      </c>
      <c r="P258" s="361"/>
      <c r="Q258" s="362"/>
      <c r="R258" s="215" t="str">
        <f ca="1">IF(ISERROR($V258),"",OFFSET('Smelter Look-up'!$C$4,$V258-4,0)&amp;"")</f>
        <v>Mineracao Taboca S.A.</v>
      </c>
      <c r="S258" s="222" t="str">
        <f t="shared" ca="1" si="36"/>
        <v>BR</v>
      </c>
      <c r="T258" s="222" t="str">
        <f ca="1">IF(B258="","",IF(ISERROR(MATCH($J258,SorP!$B$1:$B$6230,0)),"",INDIRECT("'SorP'!$A$"&amp;MATCH($J258,SorP!$B$1:$B$6230,0))))</f>
        <v>BR-SP</v>
      </c>
      <c r="U258" s="238"/>
      <c r="V258" s="270">
        <f>IF(C258="",NA(),MATCH($B258&amp;$C258,'Smelter Look-up'!$J:$J,0))</f>
        <v>456</v>
      </c>
      <c r="W258" s="271"/>
      <c r="X258" s="271">
        <f t="shared" si="37"/>
        <v>0</v>
      </c>
      <c r="Y258" s="271"/>
      <c r="Z258" s="271"/>
      <c r="AB258" s="273" t="str">
        <f t="shared" si="38"/>
        <v>TinMineracao Taboca S.A.</v>
      </c>
    </row>
    <row r="259" spans="1:28" s="272" customFormat="1" ht="89.25">
      <c r="A259" s="363" t="s">
        <v>15389</v>
      </c>
      <c r="B259" s="355" t="s">
        <v>1131</v>
      </c>
      <c r="C259" s="356" t="s">
        <v>15388</v>
      </c>
      <c r="D259" s="357"/>
      <c r="E259" s="355" t="s">
        <v>15646</v>
      </c>
      <c r="F259" s="355" t="s">
        <v>15389</v>
      </c>
      <c r="G259" s="355" t="s">
        <v>13459</v>
      </c>
      <c r="H259" s="358"/>
      <c r="I259" s="359" t="s">
        <v>2477</v>
      </c>
      <c r="J259" s="359" t="s">
        <v>13851</v>
      </c>
      <c r="K259" s="360" t="s">
        <v>16577</v>
      </c>
      <c r="L259" s="360" t="s">
        <v>16578</v>
      </c>
      <c r="M259" s="360"/>
      <c r="N259" s="360"/>
      <c r="O259" s="360"/>
      <c r="P259" s="361"/>
      <c r="Q259" s="362"/>
      <c r="R259" s="215" t="str">
        <f ca="1">IF(ISERROR($V259),"",OFFSET('Smelter Look-up'!$C$4,$V259-4,0)&amp;"")</f>
        <v>Gejiu Fengming Metallurgy Chemical Plant</v>
      </c>
      <c r="S259" s="222" t="str">
        <f t="shared" ca="1" si="36"/>
        <v>CN</v>
      </c>
      <c r="T259" s="222" t="str">
        <f ca="1">IF(B259="","",IF(ISERROR(MATCH($J259,SorP!$B$1:$B$6230,0)),"",INDIRECT("'SorP'!$A$"&amp;MATCH($J259,SorP!$B$1:$B$6230,0))))</f>
        <v>CN-YN</v>
      </c>
      <c r="U259" s="238"/>
      <c r="V259" s="270">
        <f>IF(C259="",NA(),MATCH($B259&amp;$C259,'Smelter Look-up'!$J:$J,0))</f>
        <v>425</v>
      </c>
      <c r="W259" s="271"/>
      <c r="X259" s="271">
        <f t="shared" si="37"/>
        <v>0</v>
      </c>
      <c r="Y259" s="271"/>
      <c r="Z259" s="271"/>
      <c r="AB259" s="273" t="str">
        <f t="shared" si="38"/>
        <v>TinGejiu Fengming Metallurgy Chemical Plant</v>
      </c>
    </row>
    <row r="260" spans="1:28" s="272" customFormat="1" ht="51">
      <c r="A260" s="363" t="s">
        <v>14105</v>
      </c>
      <c r="B260" s="355" t="s">
        <v>1130</v>
      </c>
      <c r="C260" s="356" t="s">
        <v>14087</v>
      </c>
      <c r="D260" s="357"/>
      <c r="E260" s="355" t="s">
        <v>15958</v>
      </c>
      <c r="F260" s="355" t="s">
        <v>14105</v>
      </c>
      <c r="G260" s="355" t="s">
        <v>13459</v>
      </c>
      <c r="H260" s="358" t="s">
        <v>16579</v>
      </c>
      <c r="I260" s="359" t="s">
        <v>14118</v>
      </c>
      <c r="J260" s="359" t="s">
        <v>6281</v>
      </c>
      <c r="K260" s="360" t="s">
        <v>16580</v>
      </c>
      <c r="L260" s="360" t="s">
        <v>16581</v>
      </c>
      <c r="M260" s="360"/>
      <c r="N260" s="360"/>
      <c r="O260" s="360" t="s">
        <v>15712</v>
      </c>
      <c r="P260" s="361"/>
      <c r="Q260" s="362"/>
      <c r="R260" s="215" t="str">
        <f ca="1">IF(ISERROR($V260),"",OFFSET('Smelter Look-up'!$C$4,$V260-4,0)&amp;"")</f>
        <v>JALAN &amp; Company</v>
      </c>
      <c r="S260" s="222" t="str">
        <f t="shared" ca="1" si="36"/>
        <v>IN</v>
      </c>
      <c r="T260" s="222" t="str">
        <f ca="1">IF(B260="","",IF(ISERROR(MATCH($J260,SorP!$B$1:$B$6230,0)),"",INDIRECT("'SorP'!$A$"&amp;MATCH($J260,SorP!$B$1:$B$6230,0))))</f>
        <v>IN-DL</v>
      </c>
      <c r="U260" s="238"/>
      <c r="V260" s="270">
        <f>IF(C260="",NA(),MATCH($B260&amp;$C260,'Smelter Look-up'!$J:$J,0))</f>
        <v>117</v>
      </c>
      <c r="W260" s="271"/>
      <c r="X260" s="271">
        <f t="shared" si="37"/>
        <v>0</v>
      </c>
      <c r="Y260" s="271"/>
      <c r="Z260" s="271"/>
      <c r="AB260" s="273" t="str">
        <f t="shared" si="38"/>
        <v>GoldJALAN &amp; Company</v>
      </c>
    </row>
    <row r="261" spans="1:28" s="272" customFormat="1" ht="51">
      <c r="A261" s="363" t="s">
        <v>2313</v>
      </c>
      <c r="B261" s="355" t="s">
        <v>1130</v>
      </c>
      <c r="C261" s="356" t="s">
        <v>2312</v>
      </c>
      <c r="D261" s="357"/>
      <c r="E261" s="355" t="s">
        <v>16098</v>
      </c>
      <c r="F261" s="355" t="s">
        <v>2313</v>
      </c>
      <c r="G261" s="355" t="s">
        <v>13459</v>
      </c>
      <c r="H261" s="358" t="s">
        <v>16582</v>
      </c>
      <c r="I261" s="359" t="s">
        <v>2314</v>
      </c>
      <c r="J261" s="359" t="s">
        <v>1652</v>
      </c>
      <c r="K261" s="360" t="s">
        <v>16583</v>
      </c>
      <c r="L261" s="360" t="s">
        <v>16584</v>
      </c>
      <c r="M261" s="360"/>
      <c r="N261" s="360"/>
      <c r="O261" s="360" t="s">
        <v>16585</v>
      </c>
      <c r="P261" s="361"/>
      <c r="Q261" s="362"/>
      <c r="R261" s="215" t="str">
        <f ca="1">IF(ISERROR($V261),"",OFFSET('Smelter Look-up'!$C$4,$V261-4,0)&amp;"")</f>
        <v>AU Traders and Refiners</v>
      </c>
      <c r="S261" s="222" t="str">
        <f t="shared" ca="1" si="36"/>
        <v>ZA</v>
      </c>
      <c r="T261" s="222" t="str">
        <f ca="1">IF(B261="","",IF(ISERROR(MATCH($J261,SorP!$B$1:$B$6230,0)),"",INDIRECT("'SorP'!$A$"&amp;MATCH($J261,SorP!$B$1:$B$6230,0))))</f>
        <v>ZA-GT</v>
      </c>
      <c r="U261" s="238"/>
      <c r="V261" s="270">
        <f>IF(C261="",NA(),MATCH($B261&amp;$C261,'Smelter Look-up'!$J:$J,0))</f>
        <v>32</v>
      </c>
      <c r="W261" s="271"/>
      <c r="X261" s="271">
        <f t="shared" si="37"/>
        <v>0</v>
      </c>
      <c r="Y261" s="271"/>
      <c r="Z261" s="271"/>
      <c r="AB261" s="273" t="str">
        <f t="shared" si="38"/>
        <v>GoldAU Traders and Refiners</v>
      </c>
    </row>
    <row r="262" spans="1:28" s="272" customFormat="1" ht="76.5">
      <c r="A262" s="363" t="s">
        <v>14100</v>
      </c>
      <c r="B262" s="355" t="s">
        <v>1130</v>
      </c>
      <c r="C262" s="356" t="s">
        <v>14075</v>
      </c>
      <c r="D262" s="357"/>
      <c r="E262" s="355" t="s">
        <v>15958</v>
      </c>
      <c r="F262" s="355" t="s">
        <v>14100</v>
      </c>
      <c r="G262" s="355" t="s">
        <v>13459</v>
      </c>
      <c r="H262" s="358" t="s">
        <v>16586</v>
      </c>
      <c r="I262" s="359" t="s">
        <v>14115</v>
      </c>
      <c r="J262" s="359" t="s">
        <v>1734</v>
      </c>
      <c r="K262" s="360" t="s">
        <v>16587</v>
      </c>
      <c r="L262" s="360" t="s">
        <v>16588</v>
      </c>
      <c r="M262" s="360"/>
      <c r="N262" s="360"/>
      <c r="O262" s="360" t="s">
        <v>15712</v>
      </c>
      <c r="P262" s="361"/>
      <c r="Q262" s="362"/>
      <c r="R262" s="215" t="str">
        <f ca="1">IF(ISERROR($V262),"",OFFSET('Smelter Look-up'!$C$4,$V262-4,0)&amp;"")</f>
        <v>Augmont Enterprises Private Limited</v>
      </c>
      <c r="S262" s="222" t="str">
        <f t="shared" ca="1" si="36"/>
        <v>IN</v>
      </c>
      <c r="T262" s="222" t="str">
        <f ca="1">IF(B262="","",IF(ISERROR(MATCH($J262,SorP!$B$1:$B$6230,0)),"",INDIRECT("'SorP'!$A$"&amp;MATCH($J262,SorP!$B$1:$B$6230,0))))</f>
        <v>IN-MH</v>
      </c>
      <c r="U262" s="238"/>
      <c r="V262" s="270">
        <f>IF(C262="",NA(),MATCH($B262&amp;$C262,'Smelter Look-up'!$J:$J,0))</f>
        <v>33</v>
      </c>
      <c r="W262" s="271"/>
      <c r="X262" s="271">
        <f t="shared" si="37"/>
        <v>0</v>
      </c>
      <c r="Y262" s="271"/>
      <c r="Z262" s="271"/>
      <c r="AB262" s="273" t="str">
        <f t="shared" si="38"/>
        <v>GoldAugmont Enterprises Private Limited</v>
      </c>
    </row>
    <row r="263" spans="1:28" s="272" customFormat="1" ht="51">
      <c r="A263" s="363" t="s">
        <v>2317</v>
      </c>
      <c r="B263" s="355" t="s">
        <v>1130</v>
      </c>
      <c r="C263" s="356" t="s">
        <v>2316</v>
      </c>
      <c r="D263" s="357"/>
      <c r="E263" s="355" t="s">
        <v>15958</v>
      </c>
      <c r="F263" s="355" t="s">
        <v>2317</v>
      </c>
      <c r="G263" s="355" t="s">
        <v>13459</v>
      </c>
      <c r="H263" s="358" t="s">
        <v>16589</v>
      </c>
      <c r="I263" s="359" t="s">
        <v>2374</v>
      </c>
      <c r="J263" s="359" t="s">
        <v>2375</v>
      </c>
      <c r="K263" s="360" t="s">
        <v>16590</v>
      </c>
      <c r="L263" s="360" t="s">
        <v>16591</v>
      </c>
      <c r="M263" s="360"/>
      <c r="N263" s="360"/>
      <c r="O263" s="360" t="s">
        <v>16592</v>
      </c>
      <c r="P263" s="361"/>
      <c r="Q263" s="362"/>
      <c r="R263" s="215" t="str">
        <f ca="1">IF(ISERROR($V263),"",OFFSET('Smelter Look-up'!$C$4,$V263-4,0)&amp;"")</f>
        <v>Bangalore Refinery</v>
      </c>
      <c r="S263" s="222" t="str">
        <f t="shared" ca="1" si="36"/>
        <v>IN</v>
      </c>
      <c r="T263" s="222" t="str">
        <f ca="1">IF(B263="","",IF(ISERROR(MATCH($J263,SorP!$B$1:$B$6230,0)),"",INDIRECT("'SorP'!$A$"&amp;MATCH($J263,SorP!$B$1:$B$6230,0))))</f>
        <v>IN-KA</v>
      </c>
      <c r="U263" s="238"/>
      <c r="V263" s="270">
        <f>IF(C263="",NA(),MATCH($B263&amp;$C263,'Smelter Look-up'!$J:$J,0))</f>
        <v>36</v>
      </c>
      <c r="W263" s="271"/>
      <c r="X263" s="271">
        <f t="shared" si="37"/>
        <v>0</v>
      </c>
      <c r="Y263" s="271"/>
      <c r="Z263" s="271"/>
      <c r="AB263" s="273" t="str">
        <f t="shared" si="38"/>
        <v>GoldBangalore Refinery</v>
      </c>
    </row>
    <row r="264" spans="1:28" s="272" customFormat="1" ht="63.75">
      <c r="A264" s="363" t="s">
        <v>1716</v>
      </c>
      <c r="B264" s="355" t="s">
        <v>1130</v>
      </c>
      <c r="C264" s="356" t="s">
        <v>1715</v>
      </c>
      <c r="D264" s="357"/>
      <c r="E264" s="355" t="s">
        <v>16314</v>
      </c>
      <c r="F264" s="355" t="s">
        <v>1716</v>
      </c>
      <c r="G264" s="355" t="s">
        <v>13459</v>
      </c>
      <c r="H264" s="358" t="s">
        <v>16593</v>
      </c>
      <c r="I264" s="359" t="s">
        <v>1714</v>
      </c>
      <c r="J264" s="359" t="s">
        <v>2610</v>
      </c>
      <c r="K264" s="360" t="s">
        <v>16594</v>
      </c>
      <c r="L264" s="360" t="s">
        <v>16595</v>
      </c>
      <c r="M264" s="360"/>
      <c r="N264" s="360"/>
      <c r="O264" s="360" t="s">
        <v>16596</v>
      </c>
      <c r="P264" s="361"/>
      <c r="Q264" s="362"/>
      <c r="R264" s="215" t="str">
        <f ca="1">IF(ISERROR($V264),"",OFFSET('Smelter Look-up'!$C$4,$V264-4,0)&amp;"")</f>
        <v>Emirates Gold DMCC</v>
      </c>
      <c r="S264" s="222" t="str">
        <f t="shared" ca="1" si="36"/>
        <v>AE</v>
      </c>
      <c r="T264" s="222" t="str">
        <f ca="1">IF(B264="","",IF(ISERROR(MATCH($J264,SorP!$B$1:$B$6230,0)),"",INDIRECT("'SorP'!$A$"&amp;MATCH($J264,SorP!$B$1:$B$6230,0))))</f>
        <v>AE-DU</v>
      </c>
      <c r="U264" s="238"/>
      <c r="V264" s="270">
        <f>IF(C264="",NA(),MATCH($B264&amp;$C264,'Smelter Look-up'!$J:$J,0))</f>
        <v>78</v>
      </c>
      <c r="W264" s="271"/>
      <c r="X264" s="271">
        <f t="shared" si="37"/>
        <v>0</v>
      </c>
      <c r="Y264" s="271"/>
      <c r="Z264" s="271"/>
      <c r="AB264" s="273" t="str">
        <f t="shared" si="38"/>
        <v>GoldEmirates Gold DMCC</v>
      </c>
    </row>
    <row r="265" spans="1:28" s="272" customFormat="1" ht="76.5">
      <c r="A265" s="363" t="s">
        <v>14015</v>
      </c>
      <c r="B265" s="355" t="s">
        <v>1130</v>
      </c>
      <c r="C265" s="356" t="s">
        <v>14014</v>
      </c>
      <c r="D265" s="357"/>
      <c r="E265" s="355" t="s">
        <v>16314</v>
      </c>
      <c r="F265" s="355" t="s">
        <v>14015</v>
      </c>
      <c r="G265" s="355" t="s">
        <v>13459</v>
      </c>
      <c r="H265" s="358" t="s">
        <v>16597</v>
      </c>
      <c r="I265" s="359" t="s">
        <v>1714</v>
      </c>
      <c r="J265" s="359" t="s">
        <v>2610</v>
      </c>
      <c r="K265" s="360" t="s">
        <v>15625</v>
      </c>
      <c r="L265" s="360" t="s">
        <v>16598</v>
      </c>
      <c r="M265" s="360"/>
      <c r="N265" s="360"/>
      <c r="O265" s="360" t="s">
        <v>15712</v>
      </c>
      <c r="P265" s="361"/>
      <c r="Q265" s="362"/>
      <c r="R265" s="215" t="str">
        <f ca="1">IF(ISERROR($V265),"",OFFSET('Smelter Look-up'!$C$4,$V265-4,0)&amp;"")</f>
        <v>International Precious Metal Refiners</v>
      </c>
      <c r="S265" s="222" t="str">
        <f t="shared" ca="1" si="36"/>
        <v>AE</v>
      </c>
      <c r="T265" s="222" t="str">
        <f ca="1">IF(B265="","",IF(ISERROR(MATCH($J265,SorP!$B$1:$B$6230,0)),"",INDIRECT("'SorP'!$A$"&amp;MATCH($J265,SorP!$B$1:$B$6230,0))))</f>
        <v>AE-DU</v>
      </c>
      <c r="U265" s="238"/>
      <c r="V265" s="270">
        <f>IF(C265="",NA(),MATCH($B265&amp;$C265,'Smelter Look-up'!$J:$J,0))</f>
        <v>113</v>
      </c>
      <c r="W265" s="271"/>
      <c r="X265" s="271">
        <f t="shared" si="37"/>
        <v>0</v>
      </c>
      <c r="Y265" s="271"/>
      <c r="Z265" s="271"/>
      <c r="AB265" s="273" t="str">
        <f t="shared" si="38"/>
        <v>GoldInternational Precious Metal Refiners</v>
      </c>
    </row>
    <row r="266" spans="1:28" s="272" customFormat="1" ht="89.25">
      <c r="A266" s="363" t="s">
        <v>2468</v>
      </c>
      <c r="B266" s="355" t="s">
        <v>1130</v>
      </c>
      <c r="C266" s="356" t="s">
        <v>2467</v>
      </c>
      <c r="D266" s="357"/>
      <c r="E266" s="355" t="s">
        <v>15781</v>
      </c>
      <c r="F266" s="355" t="s">
        <v>2468</v>
      </c>
      <c r="G266" s="355" t="s">
        <v>13459</v>
      </c>
      <c r="H266" s="358" t="s">
        <v>16599</v>
      </c>
      <c r="I266" s="359" t="s">
        <v>1549</v>
      </c>
      <c r="J266" s="359" t="s">
        <v>1550</v>
      </c>
      <c r="K266" s="360" t="s">
        <v>15625</v>
      </c>
      <c r="L266" s="360" t="s">
        <v>16600</v>
      </c>
      <c r="M266" s="360"/>
      <c r="N266" s="360"/>
      <c r="O266" s="360" t="s">
        <v>16601</v>
      </c>
      <c r="P266" s="361"/>
      <c r="Q266" s="362"/>
      <c r="R266" s="215" t="str">
        <f ca="1">IF(ISERROR($V266),"",OFFSET('Smelter Look-up'!$C$4,$V266-4,0)&amp;"")</f>
        <v>Degussa Sonne / Mond Goldhandel GmbH</v>
      </c>
      <c r="S266" s="222" t="str">
        <f t="shared" ca="1" si="36"/>
        <v>DE</v>
      </c>
      <c r="T266" s="222" t="str">
        <f ca="1">IF(B266="","",IF(ISERROR(MATCH($J266,SorP!$B$1:$B$6230,0)),"",INDIRECT("'SorP'!$A$"&amp;MATCH($J266,SorP!$B$1:$B$6230,0))))</f>
        <v>DE-BW</v>
      </c>
      <c r="U266" s="238"/>
      <c r="V266" s="270">
        <f>IF(C266="",NA(),MATCH($B266&amp;$C266,'Smelter Look-up'!$J:$J,0))</f>
        <v>58</v>
      </c>
      <c r="W266" s="271"/>
      <c r="X266" s="271">
        <f t="shared" si="37"/>
        <v>0</v>
      </c>
      <c r="Y266" s="271"/>
      <c r="Z266" s="271"/>
      <c r="AB266" s="273" t="str">
        <f t="shared" si="38"/>
        <v>GoldDegussa Sonne / Mond Goldhandel GmbH</v>
      </c>
    </row>
    <row r="267" spans="1:28" s="272" customFormat="1" ht="51">
      <c r="A267" s="363" t="s">
        <v>14011</v>
      </c>
      <c r="B267" s="355" t="s">
        <v>1130</v>
      </c>
      <c r="C267" s="356" t="s">
        <v>14010</v>
      </c>
      <c r="D267" s="357"/>
      <c r="E267" s="355" t="s">
        <v>16314</v>
      </c>
      <c r="F267" s="355" t="s">
        <v>14011</v>
      </c>
      <c r="G267" s="355" t="s">
        <v>13459</v>
      </c>
      <c r="H267" s="358" t="s">
        <v>16602</v>
      </c>
      <c r="I267" s="359" t="s">
        <v>14054</v>
      </c>
      <c r="J267" s="359" t="s">
        <v>2606</v>
      </c>
      <c r="K267" s="360"/>
      <c r="L267" s="360"/>
      <c r="M267" s="360"/>
      <c r="N267" s="360"/>
      <c r="O267" s="360" t="s">
        <v>15712</v>
      </c>
      <c r="P267" s="361"/>
      <c r="Q267" s="362"/>
      <c r="R267" s="215" t="str">
        <f ca="1">IF(ISERROR($V267),"",OFFSET('Smelter Look-up'!$C$4,$V267-4,0)&amp;"")</f>
        <v>Dijllah Gold Refinery FZC</v>
      </c>
      <c r="S267" s="222" t="str">
        <f t="shared" ca="1" si="36"/>
        <v>AE</v>
      </c>
      <c r="T267" s="222" t="str">
        <f ca="1">IF(B267="","",IF(ISERROR(MATCH($J267,SorP!$B$1:$B$6230,0)),"",INDIRECT("'SorP'!$A$"&amp;MATCH($J267,SorP!$B$1:$B$6230,0))))</f>
        <v>AE-SH</v>
      </c>
      <c r="U267" s="238"/>
      <c r="V267" s="270">
        <f>IF(C267="",NA(),MATCH($B267&amp;$C267,'Smelter Look-up'!$J:$J,0))</f>
        <v>59</v>
      </c>
      <c r="W267" s="271"/>
      <c r="X267" s="271">
        <f t="shared" si="37"/>
        <v>0</v>
      </c>
      <c r="Y267" s="271"/>
      <c r="Z267" s="271"/>
      <c r="AB267" s="273" t="str">
        <f t="shared" si="38"/>
        <v>GoldDijllah Gold Refinery FZC</v>
      </c>
    </row>
    <row r="268" spans="1:28" s="272" customFormat="1" ht="38.25">
      <c r="A268" s="363" t="s">
        <v>15338</v>
      </c>
      <c r="B268" s="355" t="s">
        <v>1130</v>
      </c>
      <c r="C268" s="356" t="s">
        <v>15337</v>
      </c>
      <c r="D268" s="357"/>
      <c r="E268" s="355" t="s">
        <v>16603</v>
      </c>
      <c r="F268" s="355" t="s">
        <v>15338</v>
      </c>
      <c r="G268" s="355" t="s">
        <v>13459</v>
      </c>
      <c r="H268" s="358" t="s">
        <v>16604</v>
      </c>
      <c r="I268" s="359" t="s">
        <v>15423</v>
      </c>
      <c r="J268" s="359" t="s">
        <v>15424</v>
      </c>
      <c r="K268" s="360" t="s">
        <v>16605</v>
      </c>
      <c r="L268" s="360" t="s">
        <v>16606</v>
      </c>
      <c r="M268" s="360"/>
      <c r="N268" s="360"/>
      <c r="O268" s="360" t="s">
        <v>15712</v>
      </c>
      <c r="P268" s="361"/>
      <c r="Q268" s="362"/>
      <c r="R268" s="215" t="str">
        <f ca="1">IF(ISERROR($V268),"",OFFSET('Smelter Look-up'!$C$4,$V268-4,0)&amp;"")</f>
        <v>K.A. Rasmussen</v>
      </c>
      <c r="S268" s="222" t="str">
        <f t="shared" ca="1" si="36"/>
        <v>NO</v>
      </c>
      <c r="T268" s="222" t="str">
        <f ca="1">IF(B268="","",IF(ISERROR(MATCH($J268,SorP!$B$1:$B$6230,0)),"",INDIRECT("'SorP'!$A$"&amp;MATCH($J268,SorP!$B$1:$B$6230,0))))</f>
        <v/>
      </c>
      <c r="U268" s="238"/>
      <c r="V268" s="270">
        <f>IF(C268="",NA(),MATCH($B268&amp;$C268,'Smelter Look-up'!$J:$J,0))</f>
        <v>129</v>
      </c>
      <c r="W268" s="271"/>
      <c r="X268" s="271">
        <f t="shared" si="37"/>
        <v>0</v>
      </c>
      <c r="Y268" s="271"/>
      <c r="Z268" s="271"/>
      <c r="AB268" s="273" t="str">
        <f t="shared" si="38"/>
        <v>GoldK.A. Rasmussen</v>
      </c>
    </row>
    <row r="269" spans="1:28" s="272" customFormat="1" ht="38.25">
      <c r="A269" s="363" t="s">
        <v>15412</v>
      </c>
      <c r="B269" s="355" t="s">
        <v>1133</v>
      </c>
      <c r="C269" s="356" t="s">
        <v>15411</v>
      </c>
      <c r="D269" s="357"/>
      <c r="E269" s="355" t="s">
        <v>15697</v>
      </c>
      <c r="F269" s="355" t="s">
        <v>15412</v>
      </c>
      <c r="G269" s="355" t="s">
        <v>13459</v>
      </c>
      <c r="H269" s="358" t="s">
        <v>16607</v>
      </c>
      <c r="I269" s="359" t="s">
        <v>15447</v>
      </c>
      <c r="J269" s="359" t="s">
        <v>10102</v>
      </c>
      <c r="K269" s="360" t="s">
        <v>16608</v>
      </c>
      <c r="L269" s="360" t="s">
        <v>16609</v>
      </c>
      <c r="M269" s="360"/>
      <c r="N269" s="360"/>
      <c r="O269" s="360" t="s">
        <v>15712</v>
      </c>
      <c r="P269" s="361"/>
      <c r="Q269" s="362"/>
      <c r="R269" s="215" t="str">
        <f ca="1">IF(ISERROR($V269),"",OFFSET('Smelter Look-up'!$C$4,$V269-4,0)&amp;"")</f>
        <v>Artek LLC</v>
      </c>
      <c r="S269" s="222" t="str">
        <f t="shared" ca="1" si="36"/>
        <v>RU</v>
      </c>
      <c r="T269" s="222" t="str">
        <f ca="1">IF(B269="","",IF(ISERROR(MATCH($J269,SorP!$B$1:$B$6230,0)),"",INDIRECT("'SorP'!$A$"&amp;MATCH($J269,SorP!$B$1:$B$6230,0))))</f>
        <v>RU-MOW</v>
      </c>
      <c r="U269" s="238"/>
      <c r="V269" s="270">
        <f>IF(C269="",NA(),MATCH($B269&amp;$C269,'Smelter Look-up'!$J:$J,0))</f>
        <v>540</v>
      </c>
      <c r="W269" s="271"/>
      <c r="X269" s="271">
        <f t="shared" si="37"/>
        <v>0</v>
      </c>
      <c r="Y269" s="271"/>
      <c r="Z269" s="271"/>
      <c r="AB269" s="273" t="str">
        <f t="shared" si="38"/>
        <v>TungstenArtek LLC</v>
      </c>
    </row>
    <row r="270" spans="1:28" s="272" customFormat="1" ht="72" customHeight="1">
      <c r="A270" s="363" t="s">
        <v>1832</v>
      </c>
      <c r="B270" s="355" t="s">
        <v>1131</v>
      </c>
      <c r="C270" s="356" t="s">
        <v>13150</v>
      </c>
      <c r="D270" s="357"/>
      <c r="E270" s="355" t="s">
        <v>16383</v>
      </c>
      <c r="F270" s="355" t="s">
        <v>1832</v>
      </c>
      <c r="G270" s="355" t="s">
        <v>13459</v>
      </c>
      <c r="H270" s="358" t="s">
        <v>16610</v>
      </c>
      <c r="I270" s="359" t="s">
        <v>1833</v>
      </c>
      <c r="J270" s="359" t="s">
        <v>12624</v>
      </c>
      <c r="K270" s="360" t="s">
        <v>16563</v>
      </c>
      <c r="L270" s="360" t="s">
        <v>16564</v>
      </c>
      <c r="M270" s="360"/>
      <c r="N270" s="360"/>
      <c r="O270" s="360" t="s">
        <v>16611</v>
      </c>
      <c r="P270" s="361"/>
      <c r="Q270" s="362"/>
      <c r="R270" s="215" t="str">
        <f ca="1">IF(ISERROR($V270),"",OFFSET('Smelter Look-up'!$C$4,$V270-4,0)&amp;"")</f>
        <v>Metallo Spain S.L.U.</v>
      </c>
      <c r="S270" s="222" t="str">
        <f t="shared" ca="1" si="36"/>
        <v>ES</v>
      </c>
      <c r="T270" s="222" t="str">
        <f ca="1">IF(B270="","",IF(ISERROR(MATCH($J270,SorP!$B$1:$B$6230,0)),"",INDIRECT("'SorP'!$A$"&amp;MATCH($J270,SorP!$B$1:$B$6230,0))))</f>
        <v>ES-BI</v>
      </c>
      <c r="U270" s="238"/>
      <c r="V270" s="270">
        <f>IF(C270="",NA(),MATCH($B270&amp;$C270,'Smelter Look-up'!$J:$J,0))</f>
        <v>455</v>
      </c>
      <c r="W270" s="271"/>
      <c r="X270" s="271">
        <f t="shared" si="37"/>
        <v>0</v>
      </c>
      <c r="Y270" s="271"/>
      <c r="Z270" s="271"/>
      <c r="AB270" s="273" t="str">
        <f t="shared" si="38"/>
        <v>TinMetallo Spain S.L.U.</v>
      </c>
    </row>
    <row r="271" spans="1:28" s="272" customFormat="1" ht="38.25">
      <c r="A271" s="363" t="s">
        <v>2565</v>
      </c>
      <c r="B271" s="355" t="s">
        <v>1131</v>
      </c>
      <c r="C271" s="356" t="s">
        <v>2564</v>
      </c>
      <c r="D271" s="357"/>
      <c r="E271" s="355" t="s">
        <v>15626</v>
      </c>
      <c r="F271" s="355" t="s">
        <v>2565</v>
      </c>
      <c r="G271" s="355" t="s">
        <v>13459</v>
      </c>
      <c r="H271" s="358" t="s">
        <v>16612</v>
      </c>
      <c r="I271" s="359" t="s">
        <v>2577</v>
      </c>
      <c r="J271" s="359" t="s">
        <v>1683</v>
      </c>
      <c r="K271" s="360" t="s">
        <v>16613</v>
      </c>
      <c r="L271" s="360" t="s">
        <v>16614</v>
      </c>
      <c r="M271" s="360"/>
      <c r="N271" s="360"/>
      <c r="O271" s="360" t="s">
        <v>16615</v>
      </c>
      <c r="P271" s="361"/>
      <c r="Q271" s="362"/>
      <c r="R271" s="215" t="str">
        <f ca="1">IF(ISERROR($V271),"",OFFSET('Smelter Look-up'!$C$4,$V271-4,0)&amp;"")</f>
        <v>Super Ligas</v>
      </c>
      <c r="S271" s="222" t="str">
        <f t="shared" ca="1" si="36"/>
        <v>BR</v>
      </c>
      <c r="T271" s="222" t="str">
        <f ca="1">IF(B271="","",IF(ISERROR(MATCH($J271,SorP!$B$1:$B$6230,0)),"",INDIRECT("'SorP'!$A$"&amp;MATCH($J271,SorP!$B$1:$B$6230,0))))</f>
        <v>BR-SP</v>
      </c>
      <c r="U271" s="238"/>
      <c r="V271" s="270">
        <f>IF(C271="",NA(),MATCH($B271&amp;$C271,'Smelter Look-up'!$J:$J,0))</f>
        <v>500</v>
      </c>
      <c r="W271" s="271"/>
      <c r="X271" s="271">
        <f t="shared" si="37"/>
        <v>0</v>
      </c>
      <c r="Y271" s="271"/>
      <c r="Z271" s="271"/>
      <c r="AB271" s="273" t="str">
        <f t="shared" si="38"/>
        <v>TinSuper Ligas</v>
      </c>
    </row>
    <row r="272" spans="1:28" s="272" customFormat="1" ht="25.5">
      <c r="A272" s="363" t="s">
        <v>14006</v>
      </c>
      <c r="B272" s="355" t="s">
        <v>1130</v>
      </c>
      <c r="C272" s="356" t="s">
        <v>14005</v>
      </c>
      <c r="D272" s="357"/>
      <c r="E272" s="355" t="s">
        <v>16125</v>
      </c>
      <c r="F272" s="355" t="s">
        <v>14006</v>
      </c>
      <c r="G272" s="355" t="s">
        <v>13459</v>
      </c>
      <c r="H272" s="358" t="s">
        <v>16616</v>
      </c>
      <c r="I272" s="359" t="s">
        <v>14053</v>
      </c>
      <c r="J272" s="359" t="s">
        <v>6520</v>
      </c>
      <c r="K272" s="360" t="s">
        <v>16617</v>
      </c>
      <c r="L272" s="360" t="s">
        <v>16618</v>
      </c>
      <c r="M272" s="360"/>
      <c r="N272" s="360"/>
      <c r="O272" s="360" t="s">
        <v>15712</v>
      </c>
      <c r="P272" s="361"/>
      <c r="Q272" s="362"/>
      <c r="R272" s="215" t="str">
        <f ca="1">IF(ISERROR($V272),"",OFFSET('Smelter Look-up'!$C$4,$V272-4,0)&amp;"")</f>
        <v>8853 S.p.A.</v>
      </c>
      <c r="S272" s="222" t="str">
        <f t="shared" ca="1" si="36"/>
        <v>IT</v>
      </c>
      <c r="T272" s="222" t="str">
        <f ca="1">IF(B272="","",IF(ISERROR(MATCH($J272,SorP!$B$1:$B$6230,0)),"",INDIRECT("'SorP'!$A$"&amp;MATCH($J272,SorP!$B$1:$B$6230,0))))</f>
        <v>IT-25</v>
      </c>
      <c r="U272" s="238"/>
      <c r="V272" s="270">
        <f>IF(C272="",NA(),MATCH($B272&amp;$C272,'Smelter Look-up'!$J:$J,0))</f>
        <v>5</v>
      </c>
      <c r="W272" s="271"/>
      <c r="X272" s="271">
        <f t="shared" si="37"/>
        <v>0</v>
      </c>
      <c r="Y272" s="271"/>
      <c r="Z272" s="271"/>
      <c r="AB272" s="273" t="str">
        <f t="shared" si="38"/>
        <v>Gold8853 S.p.A.</v>
      </c>
    </row>
    <row r="273" spans="1:28" s="272" customFormat="1" ht="63.75">
      <c r="A273" s="363" t="s">
        <v>756</v>
      </c>
      <c r="B273" s="355" t="s">
        <v>1132</v>
      </c>
      <c r="C273" s="356" t="s">
        <v>12642</v>
      </c>
      <c r="D273" s="357"/>
      <c r="E273" s="355" t="s">
        <v>15626</v>
      </c>
      <c r="F273" s="355" t="s">
        <v>756</v>
      </c>
      <c r="G273" s="355" t="s">
        <v>13459</v>
      </c>
      <c r="H273" s="358" t="s">
        <v>16619</v>
      </c>
      <c r="I273" s="359" t="s">
        <v>1736</v>
      </c>
      <c r="J273" s="359" t="s">
        <v>1737</v>
      </c>
      <c r="K273" s="360" t="s">
        <v>16574</v>
      </c>
      <c r="L273" s="360" t="s">
        <v>16575</v>
      </c>
      <c r="M273" s="360"/>
      <c r="N273" s="360"/>
      <c r="O273" s="360" t="s">
        <v>15626</v>
      </c>
      <c r="P273" s="361"/>
      <c r="Q273" s="362"/>
      <c r="R273" s="215" t="str">
        <f ca="1">IF(ISERROR($V273),"",OFFSET('Smelter Look-up'!$C$4,$V273-4,0)&amp;"")</f>
        <v>Mineracao Taboca S.A.</v>
      </c>
      <c r="S273" s="222" t="str">
        <f t="shared" ref="S273:S303" ca="1" si="39">IF(B273="","",IF(ISERROR(MATCH($E273,CL,0)),"Unknown",INDIRECT("'C'!$A$"&amp;MATCH($E273,CL,0)+1)))</f>
        <v>BR</v>
      </c>
      <c r="T273" s="222" t="str">
        <f ca="1">IF(B273="","",IF(ISERROR(MATCH($J273,SorP!$B$1:$B$6230,0)),"",INDIRECT("'SorP'!$A$"&amp;MATCH($J273,SorP!$B$1:$B$6230,0))))</f>
        <v>BR-AM</v>
      </c>
      <c r="U273" s="238"/>
      <c r="V273" s="270">
        <f>IF(C273="",NA(),MATCH($B273&amp;$C273,'Smelter Look-up'!$J:$J,0))</f>
        <v>345</v>
      </c>
      <c r="W273" s="271"/>
      <c r="X273" s="271">
        <f t="shared" ref="X273:X303" si="40">IF(AND(C273="Smelter not listed",OR(LEN(D273)=0,LEN(E273)=0)),1,0)</f>
        <v>0</v>
      </c>
      <c r="Y273" s="271"/>
      <c r="Z273" s="271"/>
      <c r="AB273" s="273" t="str">
        <f t="shared" ref="AB273:AB303" si="41">B273&amp;C273</f>
        <v>TantalumMineracao Taboca S.A.</v>
      </c>
    </row>
    <row r="274" spans="1:28" s="272" customFormat="1" ht="91.5" customHeight="1">
      <c r="A274" s="363" t="s">
        <v>776</v>
      </c>
      <c r="B274" s="355" t="s">
        <v>1131</v>
      </c>
      <c r="C274" s="356" t="s">
        <v>1034</v>
      </c>
      <c r="D274" s="357"/>
      <c r="E274" s="355" t="s">
        <v>16620</v>
      </c>
      <c r="F274" s="355" t="s">
        <v>776</v>
      </c>
      <c r="G274" s="355" t="s">
        <v>13459</v>
      </c>
      <c r="H274" s="358" t="s">
        <v>16621</v>
      </c>
      <c r="I274" s="359" t="s">
        <v>1799</v>
      </c>
      <c r="J274" s="359" t="s">
        <v>9323</v>
      </c>
      <c r="K274" s="360" t="s">
        <v>16622</v>
      </c>
      <c r="L274" s="360" t="s">
        <v>16623</v>
      </c>
      <c r="M274" s="360"/>
      <c r="N274" s="360"/>
      <c r="O274" s="360" t="s">
        <v>16624</v>
      </c>
      <c r="P274" s="361"/>
      <c r="Q274" s="362"/>
      <c r="R274" s="215" t="str">
        <f ca="1">IF(ISERROR($V274),"",OFFSET('Smelter Look-up'!$C$4,$V274-4,0)&amp;"")</f>
        <v>Minsur</v>
      </c>
      <c r="S274" s="222" t="str">
        <f t="shared" ca="1" si="39"/>
        <v>PE</v>
      </c>
      <c r="T274" s="222" t="str">
        <f ca="1">IF(B274="","",IF(ISERROR(MATCH($J274,SorP!$B$1:$B$6230,0)),"",INDIRECT("'SorP'!$A$"&amp;MATCH($J274,SorP!$B$1:$B$6230,0))))</f>
        <v>PE-ICA</v>
      </c>
      <c r="U274" s="238"/>
      <c r="V274" s="270">
        <f>IF(C274="",NA(),MATCH($B274&amp;$C274,'Smelter Look-up'!$J:$J,0))</f>
        <v>460</v>
      </c>
      <c r="W274" s="271"/>
      <c r="X274" s="271">
        <f t="shared" si="40"/>
        <v>0</v>
      </c>
      <c r="Y274" s="271"/>
      <c r="Z274" s="271"/>
      <c r="AB274" s="273" t="str">
        <f t="shared" si="41"/>
        <v>TinMinsur</v>
      </c>
    </row>
    <row r="275" spans="1:28" s="272" customFormat="1" ht="89.25">
      <c r="A275" s="363" t="s">
        <v>1392</v>
      </c>
      <c r="B275" s="355" t="s">
        <v>1130</v>
      </c>
      <c r="C275" s="356" t="s">
        <v>2177</v>
      </c>
      <c r="D275" s="357"/>
      <c r="E275" s="355" t="s">
        <v>15646</v>
      </c>
      <c r="F275" s="355" t="s">
        <v>1392</v>
      </c>
      <c r="G275" s="355" t="s">
        <v>13459</v>
      </c>
      <c r="H275" s="358" t="s">
        <v>16625</v>
      </c>
      <c r="I275" s="359" t="s">
        <v>1667</v>
      </c>
      <c r="J275" s="359" t="s">
        <v>13849</v>
      </c>
      <c r="K275" s="360" t="s">
        <v>16626</v>
      </c>
      <c r="L275" s="360" t="s">
        <v>16627</v>
      </c>
      <c r="M275" s="360"/>
      <c r="N275" s="360"/>
      <c r="O275" s="360" t="s">
        <v>15729</v>
      </c>
      <c r="P275" s="361"/>
      <c r="Q275" s="362"/>
      <c r="R275" s="215" t="str">
        <f ca="1">IF(ISERROR($V275),"",OFFSET('Smelter Look-up'!$C$4,$V275-4,0)&amp;"")</f>
        <v>Sichuan Tianze Precious Metals Co., Ltd.</v>
      </c>
      <c r="S275" s="222" t="str">
        <f t="shared" ca="1" si="39"/>
        <v>CN</v>
      </c>
      <c r="T275" s="222" t="str">
        <f ca="1">IF(B275="","",IF(ISERROR(MATCH($J275,SorP!$B$1:$B$6230,0)),"",INDIRECT("'SorP'!$A$"&amp;MATCH($J275,SorP!$B$1:$B$6230,0))))</f>
        <v>CN-SC</v>
      </c>
      <c r="U275" s="238"/>
      <c r="V275" s="270">
        <f>IF(C275="",NA(),MATCH($B275&amp;$C275,'Smelter Look-up'!$J:$J,0))</f>
        <v>247</v>
      </c>
      <c r="W275" s="271"/>
      <c r="X275" s="271">
        <f t="shared" si="40"/>
        <v>0</v>
      </c>
      <c r="Y275" s="271"/>
      <c r="Z275" s="271"/>
      <c r="AB275" s="273" t="str">
        <f t="shared" si="41"/>
        <v>GoldSichuan Tianze Precious Metals Co., Ltd.</v>
      </c>
    </row>
    <row r="276" spans="1:28" s="272" customFormat="1" ht="74.25" customHeight="1">
      <c r="A276" s="363" t="s">
        <v>145</v>
      </c>
      <c r="B276" s="355" t="s">
        <v>1133</v>
      </c>
      <c r="C276" s="356" t="s">
        <v>156</v>
      </c>
      <c r="D276" s="357"/>
      <c r="E276" s="355" t="s">
        <v>15646</v>
      </c>
      <c r="F276" s="355" t="s">
        <v>145</v>
      </c>
      <c r="G276" s="355" t="s">
        <v>13459</v>
      </c>
      <c r="H276" s="358" t="s">
        <v>16628</v>
      </c>
      <c r="I276" s="359" t="s">
        <v>1848</v>
      </c>
      <c r="J276" s="359" t="s">
        <v>13841</v>
      </c>
      <c r="K276" s="360" t="s">
        <v>16198</v>
      </c>
      <c r="L276" s="360" t="s">
        <v>16199</v>
      </c>
      <c r="M276" s="360"/>
      <c r="N276" s="360"/>
      <c r="O276" s="360" t="s">
        <v>16629</v>
      </c>
      <c r="P276" s="361"/>
      <c r="Q276" s="362"/>
      <c r="R276" s="215" t="str">
        <f ca="1">IF(ISERROR($V276),"",OFFSET('Smelter Look-up'!$C$4,$V276-4,0)&amp;"")</f>
        <v>Xiamen Tungsten (H.C.) Co., Ltd.</v>
      </c>
      <c r="S276" s="222" t="str">
        <f t="shared" ca="1" si="39"/>
        <v>CN</v>
      </c>
      <c r="T276" s="222" t="str">
        <f ca="1">IF(B276="","",IF(ISERROR(MATCH($J276,SorP!$B$1:$B$6230,0)),"",INDIRECT("'SorP'!$A$"&amp;MATCH($J276,SorP!$B$1:$B$6230,0))))</f>
        <v>CN-FJ</v>
      </c>
      <c r="U276" s="238"/>
      <c r="V276" s="270">
        <f>IF(C276="",NA(),MATCH($B276&amp;$C276,'Smelter Look-up'!$J:$J,0))</f>
        <v>604</v>
      </c>
      <c r="W276" s="271"/>
      <c r="X276" s="271">
        <f t="shared" si="40"/>
        <v>0</v>
      </c>
      <c r="Y276" s="271"/>
      <c r="Z276" s="271"/>
      <c r="AB276" s="273" t="str">
        <f t="shared" si="41"/>
        <v>TungstenXiamen Tungsten (H.C.) Co., Ltd.</v>
      </c>
    </row>
    <row r="277" spans="1:28" s="272" customFormat="1" ht="76.5" customHeight="1">
      <c r="A277" s="363" t="s">
        <v>805</v>
      </c>
      <c r="B277" s="355" t="s">
        <v>1133</v>
      </c>
      <c r="C277" s="356" t="s">
        <v>816</v>
      </c>
      <c r="D277" s="357"/>
      <c r="E277" s="355" t="s">
        <v>15646</v>
      </c>
      <c r="F277" s="355" t="s">
        <v>805</v>
      </c>
      <c r="G277" s="355" t="s">
        <v>13459</v>
      </c>
      <c r="H277" s="358" t="s">
        <v>16630</v>
      </c>
      <c r="I277" s="359" t="s">
        <v>1849</v>
      </c>
      <c r="J277" s="359" t="s">
        <v>13842</v>
      </c>
      <c r="K277" s="360" t="s">
        <v>16631</v>
      </c>
      <c r="L277" s="360" t="s">
        <v>16632</v>
      </c>
      <c r="M277" s="360"/>
      <c r="N277" s="360"/>
      <c r="O277" s="360" t="s">
        <v>16633</v>
      </c>
      <c r="P277" s="361"/>
      <c r="Q277" s="362"/>
      <c r="R277" s="215" t="str">
        <f ca="1">IF(ISERROR($V277),"",OFFSET('Smelter Look-up'!$C$4,$V277-4,0)&amp;"")</f>
        <v>Jiangxi Minmetals Gao'an Non-ferrous Metals Co., Ltd.</v>
      </c>
      <c r="S277" s="222" t="str">
        <f t="shared" ca="1" si="39"/>
        <v>CN</v>
      </c>
      <c r="T277" s="222" t="str">
        <f ca="1">IF(B277="","",IF(ISERROR(MATCH($J277,SorP!$B$1:$B$6230,0)),"",INDIRECT("'SorP'!$A$"&amp;MATCH($J277,SorP!$B$1:$B$6230,0))))</f>
        <v>CN-JX</v>
      </c>
      <c r="U277" s="238"/>
      <c r="V277" s="270">
        <f>IF(C277="",NA(),MATCH($B277&amp;$C277,'Smelter Look-up'!$J:$J,0))</f>
        <v>575</v>
      </c>
      <c r="W277" s="271"/>
      <c r="X277" s="271">
        <f t="shared" si="40"/>
        <v>0</v>
      </c>
      <c r="Y277" s="271"/>
      <c r="Z277" s="271"/>
      <c r="AB277" s="273" t="str">
        <f t="shared" si="41"/>
        <v>TungstenJiangxi Minmetals Gao'an Non-ferrous Metals Co., Ltd.</v>
      </c>
    </row>
    <row r="278" spans="1:28" s="272" customFormat="1" ht="84" customHeight="1">
      <c r="A278" s="363" t="s">
        <v>140</v>
      </c>
      <c r="B278" s="355" t="s">
        <v>1133</v>
      </c>
      <c r="C278" s="356" t="s">
        <v>151</v>
      </c>
      <c r="D278" s="357"/>
      <c r="E278" s="355" t="s">
        <v>15646</v>
      </c>
      <c r="F278" s="355" t="s">
        <v>140</v>
      </c>
      <c r="G278" s="355" t="s">
        <v>13459</v>
      </c>
      <c r="H278" s="358" t="s">
        <v>16634</v>
      </c>
      <c r="I278" s="359" t="s">
        <v>1787</v>
      </c>
      <c r="J278" s="359" t="s">
        <v>13842</v>
      </c>
      <c r="K278" s="360" t="s">
        <v>16635</v>
      </c>
      <c r="L278" s="360" t="s">
        <v>16636</v>
      </c>
      <c r="M278" s="360"/>
      <c r="N278" s="360"/>
      <c r="O278" s="360" t="s">
        <v>16637</v>
      </c>
      <c r="P278" s="361"/>
      <c r="Q278" s="362"/>
      <c r="R278" s="215" t="str">
        <f ca="1">IF(ISERROR($V278),"",OFFSET('Smelter Look-up'!$C$4,$V278-4,0)&amp;"")</f>
        <v>Ganzhou Jiangwu Ferrotungsten Co., Ltd.</v>
      </c>
      <c r="S278" s="222" t="str">
        <f t="shared" ca="1" si="39"/>
        <v>CN</v>
      </c>
      <c r="T278" s="222" t="str">
        <f ca="1">IF(B278="","",IF(ISERROR(MATCH($J278,SorP!$B$1:$B$6230,0)),"",INDIRECT("'SorP'!$A$"&amp;MATCH($J278,SorP!$B$1:$B$6230,0))))</f>
        <v>CN-JX</v>
      </c>
      <c r="U278" s="238"/>
      <c r="V278" s="270">
        <f>IF(C278="",NA(),MATCH($B278&amp;$C278,'Smelter Look-up'!$J:$J,0))</f>
        <v>557</v>
      </c>
      <c r="W278" s="271"/>
      <c r="X278" s="271">
        <f t="shared" si="40"/>
        <v>0</v>
      </c>
      <c r="Y278" s="271"/>
      <c r="Z278" s="271"/>
      <c r="AB278" s="273" t="str">
        <f t="shared" si="41"/>
        <v>TungstenGanzhou Jiangwu Ferrotungsten Co., Ltd.</v>
      </c>
    </row>
    <row r="279" spans="1:28" s="272" customFormat="1" ht="96" customHeight="1">
      <c r="A279" s="363" t="s">
        <v>2471</v>
      </c>
      <c r="B279" s="355" t="s">
        <v>1130</v>
      </c>
      <c r="C279" s="356" t="s">
        <v>2470</v>
      </c>
      <c r="D279" s="357"/>
      <c r="E279" s="355" t="s">
        <v>16638</v>
      </c>
      <c r="F279" s="355" t="s">
        <v>2471</v>
      </c>
      <c r="G279" s="355" t="s">
        <v>13459</v>
      </c>
      <c r="H279" s="358" t="s">
        <v>16639</v>
      </c>
      <c r="I279" s="359" t="s">
        <v>2481</v>
      </c>
      <c r="J279" s="359" t="s">
        <v>2481</v>
      </c>
      <c r="K279" s="360" t="s">
        <v>16640</v>
      </c>
      <c r="L279" s="360" t="s">
        <v>16641</v>
      </c>
      <c r="M279" s="360"/>
      <c r="N279" s="360"/>
      <c r="O279" s="360" t="s">
        <v>16642</v>
      </c>
      <c r="P279" s="361"/>
      <c r="Q279" s="362"/>
      <c r="R279" s="215" t="str">
        <f ca="1">IF(ISERROR($V279),"",OFFSET('Smelter Look-up'!$C$4,$V279-4,0)&amp;"")</f>
        <v>L'Orfebre S.A.</v>
      </c>
      <c r="S279" s="222" t="str">
        <f t="shared" ca="1" si="39"/>
        <v>AD</v>
      </c>
      <c r="T279" s="222" t="str">
        <f ca="1">IF(B279="","",IF(ISERROR(MATCH($J279,SorP!$B$1:$B$6230,0)),"",INDIRECT("'SorP'!$A$"&amp;MATCH($J279,SorP!$B$1:$B$6230,0))))</f>
        <v>AD-07</v>
      </c>
      <c r="U279" s="238"/>
      <c r="V279" s="270">
        <f>IF(C279="",NA(),MATCH($B279&amp;$C279,'Smelter Look-up'!$J:$J,0))</f>
        <v>152</v>
      </c>
      <c r="W279" s="271"/>
      <c r="X279" s="271">
        <f t="shared" si="40"/>
        <v>0</v>
      </c>
      <c r="Y279" s="271"/>
      <c r="Z279" s="271"/>
      <c r="AB279" s="273" t="str">
        <f t="shared" si="41"/>
        <v>GoldL'Orfebre S.A.</v>
      </c>
    </row>
    <row r="280" spans="1:28" s="272" customFormat="1" ht="25.5">
      <c r="A280" s="363" t="s">
        <v>2278</v>
      </c>
      <c r="B280" s="355" t="s">
        <v>1130</v>
      </c>
      <c r="C280" s="356" t="s">
        <v>2277</v>
      </c>
      <c r="D280" s="357"/>
      <c r="E280" s="355" t="s">
        <v>16643</v>
      </c>
      <c r="F280" s="355" t="s">
        <v>2278</v>
      </c>
      <c r="G280" s="355" t="s">
        <v>13459</v>
      </c>
      <c r="H280" s="358" t="s">
        <v>16644</v>
      </c>
      <c r="I280" s="359" t="s">
        <v>2279</v>
      </c>
      <c r="J280" s="359" t="s">
        <v>4932</v>
      </c>
      <c r="K280" s="360" t="s">
        <v>16645</v>
      </c>
      <c r="L280" s="360" t="s">
        <v>16646</v>
      </c>
      <c r="M280" s="360"/>
      <c r="N280" s="360"/>
      <c r="O280" s="360" t="s">
        <v>16647</v>
      </c>
      <c r="P280" s="361"/>
      <c r="Q280" s="362"/>
      <c r="R280" s="215" t="str">
        <f ca="1">IF(ISERROR($V280),"",OFFSET('Smelter Look-up'!$C$4,$V280-4,0)&amp;"")</f>
        <v>SAAMP</v>
      </c>
      <c r="S280" s="222" t="str">
        <f t="shared" ca="1" si="39"/>
        <v>FR</v>
      </c>
      <c r="T280" s="222" t="str">
        <f ca="1">IF(B280="","",IF(ISERROR(MATCH($J280,SorP!$B$1:$B$6230,0)),"",INDIRECT("'SorP'!$A$"&amp;MATCH($J280,SorP!$B$1:$B$6230,0))))</f>
        <v>FR-IDF</v>
      </c>
      <c r="U280" s="238"/>
      <c r="V280" s="270">
        <f>IF(C280="",NA(),MATCH($B280&amp;$C280,'Smelter Look-up'!$J:$J,0))</f>
        <v>216</v>
      </c>
      <c r="W280" s="271"/>
      <c r="X280" s="271">
        <f t="shared" si="40"/>
        <v>0</v>
      </c>
      <c r="Y280" s="271"/>
      <c r="Z280" s="271"/>
      <c r="AB280" s="273" t="str">
        <f t="shared" si="41"/>
        <v>GoldSAAMP</v>
      </c>
    </row>
    <row r="281" spans="1:28" s="272" customFormat="1" ht="63.75">
      <c r="A281" s="363" t="s">
        <v>2535</v>
      </c>
      <c r="B281" s="355" t="s">
        <v>1130</v>
      </c>
      <c r="C281" s="356" t="s">
        <v>2534</v>
      </c>
      <c r="D281" s="357"/>
      <c r="E281" s="355" t="s">
        <v>16125</v>
      </c>
      <c r="F281" s="355" t="s">
        <v>2535</v>
      </c>
      <c r="G281" s="355" t="s">
        <v>13459</v>
      </c>
      <c r="H281" s="358" t="s">
        <v>16648</v>
      </c>
      <c r="I281" s="359" t="s">
        <v>1576</v>
      </c>
      <c r="J281" s="359" t="s">
        <v>6576</v>
      </c>
      <c r="K281" s="360" t="s">
        <v>16649</v>
      </c>
      <c r="L281" s="360" t="s">
        <v>16650</v>
      </c>
      <c r="M281" s="360"/>
      <c r="N281" s="360"/>
      <c r="O281" s="360" t="s">
        <v>16651</v>
      </c>
      <c r="P281" s="361"/>
      <c r="Q281" s="362"/>
      <c r="R281" s="215" t="str">
        <f ca="1">IF(ISERROR($V281),"",OFFSET('Smelter Look-up'!$C$4,$V281-4,0)&amp;"")</f>
        <v>Italpreziosi</v>
      </c>
      <c r="S281" s="222" t="str">
        <f t="shared" ca="1" si="39"/>
        <v>IT</v>
      </c>
      <c r="T281" s="222" t="str">
        <f ca="1">IF(B281="","",IF(ISERROR(MATCH($J281,SorP!$B$1:$B$6230,0)),"",INDIRECT("'SorP'!$A$"&amp;MATCH($J281,SorP!$B$1:$B$6230,0))))</f>
        <v>IT-52</v>
      </c>
      <c r="U281" s="238"/>
      <c r="V281" s="270">
        <f>IF(C281="",NA(),MATCH($B281&amp;$C281,'Smelter Look-up'!$J:$J,0))</f>
        <v>116</v>
      </c>
      <c r="W281" s="271"/>
      <c r="X281" s="271">
        <f t="shared" si="40"/>
        <v>0</v>
      </c>
      <c r="Y281" s="271"/>
      <c r="Z281" s="271"/>
      <c r="AB281" s="273" t="str">
        <f t="shared" si="41"/>
        <v>GoldItalpreziosi</v>
      </c>
    </row>
    <row r="282" spans="1:28" s="272" customFormat="1" ht="75.75" customHeight="1">
      <c r="A282" s="363" t="s">
        <v>143</v>
      </c>
      <c r="B282" s="355" t="s">
        <v>1133</v>
      </c>
      <c r="C282" s="356" t="s">
        <v>154</v>
      </c>
      <c r="D282" s="357"/>
      <c r="E282" s="355" t="s">
        <v>15646</v>
      </c>
      <c r="F282" s="355" t="s">
        <v>143</v>
      </c>
      <c r="G282" s="355" t="s">
        <v>13459</v>
      </c>
      <c r="H282" s="358" t="s">
        <v>16652</v>
      </c>
      <c r="I282" s="359" t="s">
        <v>1850</v>
      </c>
      <c r="J282" s="359" t="s">
        <v>13842</v>
      </c>
      <c r="K282" s="360" t="s">
        <v>15936</v>
      </c>
      <c r="L282" s="360" t="s">
        <v>15937</v>
      </c>
      <c r="M282" s="360"/>
      <c r="N282" s="360"/>
      <c r="O282" s="360" t="s">
        <v>16653</v>
      </c>
      <c r="P282" s="361"/>
      <c r="Q282" s="362"/>
      <c r="R282" s="215" t="str">
        <f ca="1">IF(ISERROR($V282),"",OFFSET('Smelter Look-up'!$C$4,$V282-4,0)&amp;"")</f>
        <v>Jiangxi Tonggu Non-ferrous Metallurgical &amp; Chemical Co., Ltd.</v>
      </c>
      <c r="S282" s="222" t="str">
        <f t="shared" ca="1" si="39"/>
        <v>CN</v>
      </c>
      <c r="T282" s="222" t="str">
        <f ca="1">IF(B282="","",IF(ISERROR(MATCH($J282,SorP!$B$1:$B$6230,0)),"",INDIRECT("'SorP'!$A$"&amp;MATCH($J282,SorP!$B$1:$B$6230,0))))</f>
        <v>CN-JX</v>
      </c>
      <c r="U282" s="238"/>
      <c r="V282" s="270">
        <f>IF(C282="",NA(),MATCH($B282&amp;$C282,'Smelter Look-up'!$J:$J,0))</f>
        <v>576</v>
      </c>
      <c r="W282" s="271"/>
      <c r="X282" s="271">
        <f t="shared" si="40"/>
        <v>0</v>
      </c>
      <c r="Y282" s="271"/>
      <c r="Z282" s="271"/>
      <c r="AB282" s="273" t="str">
        <f t="shared" si="41"/>
        <v>TungstenJiangxi Tonggu Non-ferrous Metallurgical &amp; Chemical Co., Ltd.</v>
      </c>
    </row>
    <row r="283" spans="1:28" s="272" customFormat="1" ht="81" customHeight="1">
      <c r="A283" s="363" t="s">
        <v>138</v>
      </c>
      <c r="B283" s="355" t="s">
        <v>1133</v>
      </c>
      <c r="C283" s="356" t="s">
        <v>157</v>
      </c>
      <c r="D283" s="357"/>
      <c r="E283" s="355" t="s">
        <v>15646</v>
      </c>
      <c r="F283" s="355" t="s">
        <v>138</v>
      </c>
      <c r="G283" s="355" t="s">
        <v>13459</v>
      </c>
      <c r="H283" s="358" t="s">
        <v>16654</v>
      </c>
      <c r="I283" s="359" t="s">
        <v>1853</v>
      </c>
      <c r="J283" s="359" t="s">
        <v>13842</v>
      </c>
      <c r="K283" s="360" t="s">
        <v>16655</v>
      </c>
      <c r="L283" s="360" t="s">
        <v>16656</v>
      </c>
      <c r="M283" s="360"/>
      <c r="N283" s="360"/>
      <c r="O283" s="360" t="s">
        <v>16657</v>
      </c>
      <c r="P283" s="361"/>
      <c r="Q283" s="362"/>
      <c r="R283" s="215" t="str">
        <f ca="1">IF(ISERROR($V283),"",OFFSET('Smelter Look-up'!$C$4,$V283-4,0)&amp;"")</f>
        <v>Jiangxi Gan Bei Tungsten Co., Ltd.</v>
      </c>
      <c r="S283" s="222" t="str">
        <f t="shared" ca="1" si="39"/>
        <v>CN</v>
      </c>
      <c r="T283" s="222" t="str">
        <f ca="1">IF(B283="","",IF(ISERROR(MATCH($J283,SorP!$B$1:$B$6230,0)),"",INDIRECT("'SorP'!$A$"&amp;MATCH($J283,SorP!$B$1:$B$6230,0))))</f>
        <v>CN-JX</v>
      </c>
      <c r="U283" s="238"/>
      <c r="V283" s="270">
        <f>IF(C283="",NA(),MATCH($B283&amp;$C283,'Smelter Look-up'!$J:$J,0))</f>
        <v>574</v>
      </c>
      <c r="W283" s="271"/>
      <c r="X283" s="271">
        <f t="shared" si="40"/>
        <v>0</v>
      </c>
      <c r="Y283" s="271"/>
      <c r="Z283" s="271"/>
      <c r="AB283" s="273" t="str">
        <f t="shared" si="41"/>
        <v>TungstenJiangxi Gan Bei Tungsten Co., Ltd.</v>
      </c>
    </row>
    <row r="284" spans="1:28" s="272" customFormat="1" ht="102">
      <c r="A284" s="363" t="s">
        <v>2563</v>
      </c>
      <c r="B284" s="355" t="s">
        <v>1131</v>
      </c>
      <c r="C284" s="356" t="s">
        <v>2562</v>
      </c>
      <c r="D284" s="357"/>
      <c r="E284" s="355" t="s">
        <v>15646</v>
      </c>
      <c r="F284" s="355" t="s">
        <v>2563</v>
      </c>
      <c r="G284" s="355" t="s">
        <v>13459</v>
      </c>
      <c r="H284" s="358" t="s">
        <v>16658</v>
      </c>
      <c r="I284" s="359" t="s">
        <v>1839</v>
      </c>
      <c r="J284" s="359" t="s">
        <v>13847</v>
      </c>
      <c r="K284" s="360" t="s">
        <v>16659</v>
      </c>
      <c r="L284" s="360" t="s">
        <v>16660</v>
      </c>
      <c r="M284" s="360"/>
      <c r="N284" s="360"/>
      <c r="O284" s="360" t="s">
        <v>16661</v>
      </c>
      <c r="P284" s="361"/>
      <c r="Q284" s="362"/>
      <c r="R284" s="215" t="str">
        <f ca="1">IF(ISERROR($V284),"",OFFSET('Smelter Look-up'!$C$4,$V284-4,0)&amp;"")</f>
        <v>Guangdong Hanhe Non-Ferrous Metal Co., Ltd.</v>
      </c>
      <c r="S284" s="222" t="str">
        <f t="shared" ca="1" si="39"/>
        <v>CN</v>
      </c>
      <c r="T284" s="222" t="str">
        <f ca="1">IF(B284="","",IF(ISERROR(MATCH($J284,SorP!$B$1:$B$6230,0)),"",INDIRECT("'SorP'!$A$"&amp;MATCH($J284,SorP!$B$1:$B$6230,0))))</f>
        <v>CN-GD</v>
      </c>
      <c r="U284" s="238"/>
      <c r="V284" s="270">
        <f>IF(C284="",NA(),MATCH($B284&amp;$C284,'Smelter Look-up'!$J:$J,0))</f>
        <v>434</v>
      </c>
      <c r="W284" s="271"/>
      <c r="X284" s="271">
        <f t="shared" si="40"/>
        <v>0</v>
      </c>
      <c r="Y284" s="271"/>
      <c r="Z284" s="271"/>
      <c r="AB284" s="273" t="str">
        <f t="shared" si="41"/>
        <v>TinGuangdong Hanhe Non-Ferrous Metal Co., Ltd.</v>
      </c>
    </row>
    <row r="285" spans="1:28" s="272" customFormat="1" ht="38.25">
      <c r="A285" s="363" t="s">
        <v>663</v>
      </c>
      <c r="B285" s="355" t="s">
        <v>1130</v>
      </c>
      <c r="C285" s="356" t="s">
        <v>905</v>
      </c>
      <c r="D285" s="357"/>
      <c r="E285" s="355" t="s">
        <v>15786</v>
      </c>
      <c r="F285" s="355" t="s">
        <v>663</v>
      </c>
      <c r="G285" s="355" t="s">
        <v>13459</v>
      </c>
      <c r="H285" s="358" t="s">
        <v>16662</v>
      </c>
      <c r="I285" s="359" t="s">
        <v>1566</v>
      </c>
      <c r="J285" s="359" t="s">
        <v>1567</v>
      </c>
      <c r="K285" s="360" t="s">
        <v>16663</v>
      </c>
      <c r="L285" s="360" t="s">
        <v>16664</v>
      </c>
      <c r="M285" s="360"/>
      <c r="N285" s="360"/>
      <c r="O285" s="360" t="s">
        <v>16665</v>
      </c>
      <c r="P285" s="361"/>
      <c r="Q285" s="362"/>
      <c r="R285" s="215" t="str">
        <f ca="1">IF(ISERROR($V285),"",OFFSET('Smelter Look-up'!$C$4,$V285-4,0)&amp;"")</f>
        <v>Caridad</v>
      </c>
      <c r="S285" s="222" t="str">
        <f t="shared" ca="1" si="39"/>
        <v>MX</v>
      </c>
      <c r="T285" s="222" t="str">
        <f ca="1">IF(B285="","",IF(ISERROR(MATCH($J285,SorP!$B$1:$B$6230,0)),"",INDIRECT("'SorP'!$A$"&amp;MATCH($J285,SorP!$B$1:$B$6230,0))))</f>
        <v>MX-SON</v>
      </c>
      <c r="U285" s="238"/>
      <c r="V285" s="270">
        <f>IF(C285="",NA(),MATCH($B285&amp;$C285,'Smelter Look-up'!$J:$J,0))</f>
        <v>42</v>
      </c>
      <c r="W285" s="271"/>
      <c r="X285" s="271">
        <f t="shared" si="40"/>
        <v>0</v>
      </c>
      <c r="Y285" s="271"/>
      <c r="Z285" s="271"/>
      <c r="AB285" s="273" t="str">
        <f t="shared" si="41"/>
        <v>GoldCaridad</v>
      </c>
    </row>
    <row r="286" spans="1:28" s="272" customFormat="1" ht="102">
      <c r="A286" s="363" t="s">
        <v>664</v>
      </c>
      <c r="B286" s="355" t="s">
        <v>1130</v>
      </c>
      <c r="C286" s="356" t="s">
        <v>2259</v>
      </c>
      <c r="D286" s="357"/>
      <c r="E286" s="355" t="s">
        <v>15666</v>
      </c>
      <c r="F286" s="355" t="s">
        <v>664</v>
      </c>
      <c r="G286" s="355" t="s">
        <v>13459</v>
      </c>
      <c r="H286" s="358" t="s">
        <v>16666</v>
      </c>
      <c r="I286" s="359" t="s">
        <v>1568</v>
      </c>
      <c r="J286" s="359" t="s">
        <v>1569</v>
      </c>
      <c r="K286" s="360" t="s">
        <v>16667</v>
      </c>
      <c r="L286" s="360" t="s">
        <v>16668</v>
      </c>
      <c r="M286" s="360"/>
      <c r="N286" s="360"/>
      <c r="O286" s="360" t="s">
        <v>16669</v>
      </c>
      <c r="P286" s="361"/>
      <c r="Q286" s="362"/>
      <c r="R286" s="215" t="str">
        <f ca="1">IF(ISERROR($V286),"",OFFSET('Smelter Look-up'!$C$4,$V286-4,0)&amp;"")</f>
        <v>CCR Refinery - Glencore Canada Corporation</v>
      </c>
      <c r="S286" s="222" t="str">
        <f t="shared" ca="1" si="39"/>
        <v>CA</v>
      </c>
      <c r="T286" s="222" t="str">
        <f ca="1">IF(B286="","",IF(ISERROR(MATCH($J286,SorP!$B$1:$B$6230,0)),"",INDIRECT("'SorP'!$A$"&amp;MATCH($J286,SorP!$B$1:$B$6230,0))))</f>
        <v>CA-QC</v>
      </c>
      <c r="U286" s="238"/>
      <c r="V286" s="270">
        <f>IF(C286="",NA(),MATCH($B286&amp;$C286,'Smelter Look-up'!$J:$J,0))</f>
        <v>44</v>
      </c>
      <c r="W286" s="271"/>
      <c r="X286" s="271">
        <f t="shared" si="40"/>
        <v>0</v>
      </c>
      <c r="Y286" s="271"/>
      <c r="Z286" s="271"/>
      <c r="AB286" s="273" t="str">
        <f t="shared" si="41"/>
        <v>GoldCCR Refinery - Glencore Canada Corporation</v>
      </c>
    </row>
    <row r="287" spans="1:28" s="272" customFormat="1" ht="63.75">
      <c r="A287" s="363" t="s">
        <v>1718</v>
      </c>
      <c r="B287" s="355" t="s">
        <v>1130</v>
      </c>
      <c r="C287" s="356" t="s">
        <v>1717</v>
      </c>
      <c r="D287" s="357"/>
      <c r="E287" s="355" t="s">
        <v>16314</v>
      </c>
      <c r="F287" s="355" t="s">
        <v>1718</v>
      </c>
      <c r="G287" s="355" t="s">
        <v>13459</v>
      </c>
      <c r="H287" s="358" t="s">
        <v>16670</v>
      </c>
      <c r="I287" s="359" t="s">
        <v>1714</v>
      </c>
      <c r="J287" s="359" t="s">
        <v>2610</v>
      </c>
      <c r="K287" s="360" t="s">
        <v>16671</v>
      </c>
      <c r="L287" s="360" t="s">
        <v>16672</v>
      </c>
      <c r="M287" s="360"/>
      <c r="N287" s="360"/>
      <c r="O287" s="360" t="s">
        <v>16673</v>
      </c>
      <c r="P287" s="361"/>
      <c r="Q287" s="362"/>
      <c r="R287" s="215" t="str">
        <f ca="1">IF(ISERROR($V287),"",OFFSET('Smelter Look-up'!$C$4,$V287-4,0)&amp;"")</f>
        <v>Kaloti Precious Metals</v>
      </c>
      <c r="S287" s="222" t="str">
        <f t="shared" ca="1" si="39"/>
        <v>AE</v>
      </c>
      <c r="T287" s="222" t="str">
        <f ca="1">IF(B287="","",IF(ISERROR(MATCH($J287,SorP!$B$1:$B$6230,0)),"",INDIRECT("'SorP'!$A$"&amp;MATCH($J287,SorP!$B$1:$B$6230,0))))</f>
        <v>AE-DU</v>
      </c>
      <c r="U287" s="238"/>
      <c r="V287" s="270">
        <f>IF(C287="",NA(),MATCH($B287&amp;$C287,'Smelter Look-up'!$J:$J,0))</f>
        <v>130</v>
      </c>
      <c r="W287" s="271"/>
      <c r="X287" s="271">
        <f t="shared" si="40"/>
        <v>0</v>
      </c>
      <c r="Y287" s="271"/>
      <c r="Z287" s="271"/>
      <c r="AB287" s="273" t="str">
        <f t="shared" si="41"/>
        <v>GoldKaloti Precious Metals</v>
      </c>
    </row>
    <row r="288" spans="1:28" s="272" customFormat="1" ht="89.25">
      <c r="A288" s="363" t="s">
        <v>2547</v>
      </c>
      <c r="B288" s="355" t="s">
        <v>1130</v>
      </c>
      <c r="C288" s="356" t="s">
        <v>2546</v>
      </c>
      <c r="D288" s="357"/>
      <c r="E288" s="355" t="s">
        <v>16674</v>
      </c>
      <c r="F288" s="355" t="s">
        <v>2547</v>
      </c>
      <c r="G288" s="355" t="s">
        <v>13459</v>
      </c>
      <c r="H288" s="358" t="s">
        <v>16675</v>
      </c>
      <c r="I288" s="359" t="s">
        <v>2548</v>
      </c>
      <c r="J288" s="359" t="s">
        <v>2549</v>
      </c>
      <c r="K288" s="360" t="s">
        <v>16676</v>
      </c>
      <c r="L288" s="360" t="s">
        <v>16677</v>
      </c>
      <c r="M288" s="360"/>
      <c r="N288" s="360"/>
      <c r="O288" s="360" t="s">
        <v>16678</v>
      </c>
      <c r="P288" s="361"/>
      <c r="Q288" s="362"/>
      <c r="R288" s="215" t="str">
        <f ca="1">IF(ISERROR($V288),"",OFFSET('Smelter Look-up'!$C$4,$V288-4,0)&amp;"")</f>
        <v>Planta Recuperadora de Metales SpA</v>
      </c>
      <c r="S288" s="222" t="str">
        <f t="shared" ca="1" si="39"/>
        <v>CL</v>
      </c>
      <c r="T288" s="222" t="str">
        <f ca="1">IF(B288="","",IF(ISERROR(MATCH($J288,SorP!$B$1:$B$6230,0)),"",INDIRECT("'SorP'!$A$"&amp;MATCH($J288,SorP!$B$1:$B$6230,0))))</f>
        <v>CL-AN</v>
      </c>
      <c r="U288" s="238"/>
      <c r="V288" s="270">
        <f>IF(C288="",NA(),MATCH($B288&amp;$C288,'Smelter Look-up'!$J:$J,0))</f>
        <v>203</v>
      </c>
      <c r="W288" s="271"/>
      <c r="X288" s="271">
        <f t="shared" si="40"/>
        <v>0</v>
      </c>
      <c r="Y288" s="271"/>
      <c r="Z288" s="271"/>
      <c r="AB288" s="273" t="str">
        <f t="shared" si="41"/>
        <v>GoldPlanta Recuperadora de Metales SpA</v>
      </c>
    </row>
    <row r="289" spans="1:28" s="272" customFormat="1" ht="111.75" customHeight="1">
      <c r="A289" s="363" t="s">
        <v>2483</v>
      </c>
      <c r="B289" s="355" t="s">
        <v>1130</v>
      </c>
      <c r="C289" s="356" t="s">
        <v>13142</v>
      </c>
      <c r="D289" s="357"/>
      <c r="E289" s="355" t="s">
        <v>15751</v>
      </c>
      <c r="F289" s="355" t="s">
        <v>2483</v>
      </c>
      <c r="G289" s="355" t="s">
        <v>13459</v>
      </c>
      <c r="H289" s="358" t="s">
        <v>16679</v>
      </c>
      <c r="I289" s="359" t="s">
        <v>13158</v>
      </c>
      <c r="J289" s="359" t="s">
        <v>13088</v>
      </c>
      <c r="K289" s="360" t="s">
        <v>16680</v>
      </c>
      <c r="L289" s="360" t="s">
        <v>16681</v>
      </c>
      <c r="M289" s="360"/>
      <c r="N289" s="360"/>
      <c r="O289" s="360" t="s">
        <v>16682</v>
      </c>
      <c r="P289" s="361"/>
      <c r="Q289" s="362"/>
      <c r="R289" s="215" t="str">
        <f ca="1">IF(ISERROR($V289),"",OFFSET('Smelter Look-up'!$C$4,$V289-4,0)&amp;"")</f>
        <v>SungEel HiMetal Co., Ltd.</v>
      </c>
      <c r="S289" s="222" t="str">
        <f t="shared" ca="1" si="39"/>
        <v>KR</v>
      </c>
      <c r="T289" s="222" t="str">
        <f ca="1">IF(B289="","",IF(ISERROR(MATCH($J289,SorP!$B$1:$B$6230,0)),"",INDIRECT("'SorP'!$A$"&amp;MATCH($J289,SorP!$B$1:$B$6230,0))))</f>
        <v>KR-45</v>
      </c>
      <c r="U289" s="238"/>
      <c r="V289" s="270">
        <f>IF(C289="",NA(),MATCH($B289&amp;$C289,'Smelter Look-up'!$J:$J,0))</f>
        <v>260</v>
      </c>
      <c r="W289" s="271"/>
      <c r="X289" s="271">
        <f t="shared" si="40"/>
        <v>0</v>
      </c>
      <c r="Y289" s="271"/>
      <c r="Z289" s="271"/>
      <c r="AB289" s="273" t="str">
        <f t="shared" si="41"/>
        <v>GoldSungEel HiMetal Co., Ltd.</v>
      </c>
    </row>
    <row r="290" spans="1:28" s="272" customFormat="1" ht="102">
      <c r="A290" s="363" t="s">
        <v>14022</v>
      </c>
      <c r="B290" s="355" t="s">
        <v>1131</v>
      </c>
      <c r="C290" s="356" t="s">
        <v>14021</v>
      </c>
      <c r="D290" s="357"/>
      <c r="E290" s="355" t="s">
        <v>15646</v>
      </c>
      <c r="F290" s="355" t="s">
        <v>14022</v>
      </c>
      <c r="G290" s="355" t="s">
        <v>13459</v>
      </c>
      <c r="H290" s="358" t="s">
        <v>16683</v>
      </c>
      <c r="I290" s="359" t="s">
        <v>14057</v>
      </c>
      <c r="J290" s="359" t="s">
        <v>13847</v>
      </c>
      <c r="K290" s="360" t="s">
        <v>16684</v>
      </c>
      <c r="L290" s="360" t="s">
        <v>16685</v>
      </c>
      <c r="M290" s="360"/>
      <c r="N290" s="360"/>
      <c r="O290" s="360" t="s">
        <v>15712</v>
      </c>
      <c r="P290" s="361"/>
      <c r="Q290" s="362"/>
      <c r="R290" s="215" t="str">
        <f ca="1">IF(ISERROR($V290),"",OFFSET('Smelter Look-up'!$C$4,$V290-4,0)&amp;"")</f>
        <v>Dongguan CiEXPO Environmental Engineering Co., Ltd.</v>
      </c>
      <c r="S290" s="222" t="str">
        <f t="shared" ca="1" si="39"/>
        <v>CN</v>
      </c>
      <c r="T290" s="222" t="str">
        <f ca="1">IF(B290="","",IF(ISERROR(MATCH($J290,SorP!$B$1:$B$6230,0)),"",INDIRECT("'SorP'!$A$"&amp;MATCH($J290,SorP!$B$1:$B$6230,0))))</f>
        <v>CN-GD</v>
      </c>
      <c r="U290" s="238"/>
      <c r="V290" s="270">
        <f>IF(C290="",NA(),MATCH($B290&amp;$C290,'Smelter Look-up'!$J:$J,0))</f>
        <v>408</v>
      </c>
      <c r="W290" s="271"/>
      <c r="X290" s="271">
        <f t="shared" si="40"/>
        <v>0</v>
      </c>
      <c r="Y290" s="271"/>
      <c r="Z290" s="271"/>
      <c r="AB290" s="273" t="str">
        <f t="shared" si="41"/>
        <v>TinDongguan CiEXPO Environmental Engineering Co., Ltd.</v>
      </c>
    </row>
    <row r="291" spans="1:28" s="272" customFormat="1" ht="63.75">
      <c r="A291" s="363" t="s">
        <v>14106</v>
      </c>
      <c r="B291" s="355" t="s">
        <v>1130</v>
      </c>
      <c r="C291" s="356" t="s">
        <v>14088</v>
      </c>
      <c r="D291" s="357"/>
      <c r="E291" s="355" t="s">
        <v>15958</v>
      </c>
      <c r="F291" s="355" t="s">
        <v>14106</v>
      </c>
      <c r="G291" s="355" t="s">
        <v>13459</v>
      </c>
      <c r="H291" s="358" t="s">
        <v>16686</v>
      </c>
      <c r="I291" s="359" t="s">
        <v>14119</v>
      </c>
      <c r="J291" s="359" t="s">
        <v>6304</v>
      </c>
      <c r="K291" s="360" t="s">
        <v>16687</v>
      </c>
      <c r="L291" s="360" t="s">
        <v>16688</v>
      </c>
      <c r="M291" s="360"/>
      <c r="N291" s="360"/>
      <c r="O291" s="360" t="s">
        <v>15712</v>
      </c>
      <c r="P291" s="361"/>
      <c r="Q291" s="362"/>
      <c r="R291" s="215" t="str">
        <f ca="1">IF(ISERROR($V291),"",OFFSET('Smelter Look-up'!$C$4,$V291-4,0)&amp;"")</f>
        <v>Kundan Care Products Ltd.</v>
      </c>
      <c r="S291" s="222" t="str">
        <f t="shared" ca="1" si="39"/>
        <v>IN</v>
      </c>
      <c r="T291" s="222" t="str">
        <f ca="1">IF(B291="","",IF(ISERROR(MATCH($J291,SorP!$B$1:$B$6230,0)),"",INDIRECT("'SorP'!$A$"&amp;MATCH($J291,SorP!$B$1:$B$6230,0))))</f>
        <v>IN-UT</v>
      </c>
      <c r="U291" s="238"/>
      <c r="V291" s="270">
        <f>IF(C291="",NA(),MATCH($B291&amp;$C291,'Smelter Look-up'!$J:$J,0))</f>
        <v>143</v>
      </c>
      <c r="W291" s="271"/>
      <c r="X291" s="271">
        <f t="shared" si="40"/>
        <v>0</v>
      </c>
      <c r="Y291" s="271"/>
      <c r="Z291" s="271"/>
      <c r="AB291" s="273" t="str">
        <f t="shared" si="41"/>
        <v>GoldKundan Care Products Ltd.</v>
      </c>
    </row>
    <row r="292" spans="1:28" s="272" customFormat="1" ht="38.25">
      <c r="A292" s="363" t="s">
        <v>15373</v>
      </c>
      <c r="B292" s="355" t="s">
        <v>1131</v>
      </c>
      <c r="C292" s="356" t="s">
        <v>15372</v>
      </c>
      <c r="D292" s="357"/>
      <c r="E292" s="355" t="s">
        <v>16383</v>
      </c>
      <c r="F292" s="355" t="s">
        <v>15373</v>
      </c>
      <c r="G292" s="355" t="s">
        <v>13459</v>
      </c>
      <c r="H292" s="358" t="s">
        <v>16689</v>
      </c>
      <c r="I292" s="359" t="s">
        <v>3688</v>
      </c>
      <c r="J292" s="359" t="s">
        <v>3688</v>
      </c>
      <c r="K292" s="360" t="s">
        <v>16690</v>
      </c>
      <c r="L292" s="360" t="s">
        <v>16691</v>
      </c>
      <c r="M292" s="360"/>
      <c r="N292" s="360"/>
      <c r="O292" s="360" t="s">
        <v>15712</v>
      </c>
      <c r="P292" s="361"/>
      <c r="Q292" s="362"/>
      <c r="R292" s="215" t="str">
        <f ca="1">IF(ISERROR($V292),"",OFFSET('Smelter Look-up'!$C$4,$V292-4,0)&amp;"")</f>
        <v>CRM Synergies</v>
      </c>
      <c r="S292" s="222" t="str">
        <f t="shared" ca="1" si="39"/>
        <v>ES</v>
      </c>
      <c r="T292" s="222" t="str">
        <f ca="1">IF(B292="","",IF(ISERROR(MATCH($J292,SorP!$B$1:$B$6230,0)),"",INDIRECT("'SorP'!$A$"&amp;MATCH($J292,SorP!$B$1:$B$6230,0))))</f>
        <v>BZ-TOL</v>
      </c>
      <c r="U292" s="238"/>
      <c r="V292" s="270">
        <f>IF(C292="",NA(),MATCH($B292&amp;$C292,'Smelter Look-up'!$J:$J,0))</f>
        <v>403</v>
      </c>
      <c r="W292" s="271"/>
      <c r="X292" s="271">
        <f t="shared" si="40"/>
        <v>0</v>
      </c>
      <c r="Y292" s="271"/>
      <c r="Z292" s="271"/>
      <c r="AB292" s="273" t="str">
        <f t="shared" si="41"/>
        <v>TinCRM Synergies</v>
      </c>
    </row>
    <row r="293" spans="1:28" s="272" customFormat="1" ht="63.75">
      <c r="A293" s="363" t="s">
        <v>15341</v>
      </c>
      <c r="B293" s="355" t="s">
        <v>1130</v>
      </c>
      <c r="C293" s="356" t="s">
        <v>15340</v>
      </c>
      <c r="D293" s="357"/>
      <c r="E293" s="355" t="s">
        <v>15958</v>
      </c>
      <c r="F293" s="355" t="s">
        <v>15341</v>
      </c>
      <c r="G293" s="355" t="s">
        <v>13459</v>
      </c>
      <c r="H293" s="358" t="s">
        <v>16692</v>
      </c>
      <c r="I293" s="359" t="s">
        <v>15425</v>
      </c>
      <c r="J293" s="359" t="s">
        <v>6304</v>
      </c>
      <c r="K293" s="360" t="s">
        <v>16693</v>
      </c>
      <c r="L293" s="360" t="s">
        <v>16694</v>
      </c>
      <c r="M293" s="360"/>
      <c r="N293" s="360"/>
      <c r="O293" s="360" t="s">
        <v>15712</v>
      </c>
      <c r="P293" s="361"/>
      <c r="Q293" s="362"/>
      <c r="R293" s="215" t="str">
        <f ca="1">IF(ISERROR($V293),"",OFFSET('Smelter Look-up'!$C$4,$V293-4,0)&amp;"")</f>
        <v>MD Overseas</v>
      </c>
      <c r="S293" s="222" t="str">
        <f t="shared" ca="1" si="39"/>
        <v>IN</v>
      </c>
      <c r="T293" s="222" t="str">
        <f ca="1">IF(B293="","",IF(ISERROR(MATCH($J293,SorP!$B$1:$B$6230,0)),"",INDIRECT("'SorP'!$A$"&amp;MATCH($J293,SorP!$B$1:$B$6230,0))))</f>
        <v>IN-UT</v>
      </c>
      <c r="U293" s="238"/>
      <c r="V293" s="270">
        <f>IF(C293="",NA(),MATCH($B293&amp;$C293,'Smelter Look-up'!$J:$J,0))</f>
        <v>161</v>
      </c>
      <c r="W293" s="271"/>
      <c r="X293" s="271">
        <f t="shared" si="40"/>
        <v>0</v>
      </c>
      <c r="Y293" s="271"/>
      <c r="Z293" s="271"/>
      <c r="AB293" s="273" t="str">
        <f t="shared" si="41"/>
        <v>GoldMD Overseas</v>
      </c>
    </row>
    <row r="294" spans="1:28" s="272" customFormat="1" ht="38.25">
      <c r="A294" s="363" t="s">
        <v>673</v>
      </c>
      <c r="B294" s="355" t="s">
        <v>1130</v>
      </c>
      <c r="C294" s="356" t="s">
        <v>906</v>
      </c>
      <c r="D294" s="357"/>
      <c r="E294" s="355" t="s">
        <v>15641</v>
      </c>
      <c r="F294" s="355" t="s">
        <v>673</v>
      </c>
      <c r="G294" s="355" t="s">
        <v>13459</v>
      </c>
      <c r="H294" s="358" t="s">
        <v>16695</v>
      </c>
      <c r="I294" s="359" t="s">
        <v>1581</v>
      </c>
      <c r="J294" s="359" t="s">
        <v>1582</v>
      </c>
      <c r="K294" s="360" t="s">
        <v>16696</v>
      </c>
      <c r="L294" s="360" t="s">
        <v>16697</v>
      </c>
      <c r="M294" s="360"/>
      <c r="N294" s="360"/>
      <c r="O294" s="360" t="s">
        <v>16698</v>
      </c>
      <c r="P294" s="361"/>
      <c r="Q294" s="362"/>
      <c r="R294" s="215" t="str">
        <f ca="1">IF(ISERROR($V294),"",OFFSET('Smelter Look-up'!$C$4,$V294-4,0)&amp;"")</f>
        <v>Dowa</v>
      </c>
      <c r="S294" s="222" t="str">
        <f t="shared" ca="1" si="39"/>
        <v>JP</v>
      </c>
      <c r="T294" s="222" t="str">
        <f ca="1">IF(B294="","",IF(ISERROR(MATCH($J294,SorP!$B$1:$B$6230,0)),"",INDIRECT("'SorP'!$A$"&amp;MATCH($J294,SorP!$B$1:$B$6230,0))))</f>
        <v>JP-05</v>
      </c>
      <c r="U294" s="238"/>
      <c r="V294" s="270">
        <f>IF(C294="",NA(),MATCH($B294&amp;$C294,'Smelter Look-up'!$J:$J,0))</f>
        <v>64</v>
      </c>
      <c r="W294" s="271"/>
      <c r="X294" s="271">
        <f t="shared" si="40"/>
        <v>0</v>
      </c>
      <c r="Y294" s="271"/>
      <c r="Z294" s="271"/>
      <c r="AB294" s="273" t="str">
        <f t="shared" si="41"/>
        <v>GoldDowa</v>
      </c>
    </row>
    <row r="295" spans="1:28" s="272" customFormat="1" ht="38.25">
      <c r="A295" s="363" t="s">
        <v>1410</v>
      </c>
      <c r="B295" s="355" t="s">
        <v>1131</v>
      </c>
      <c r="C295" s="356" t="s">
        <v>906</v>
      </c>
      <c r="D295" s="357"/>
      <c r="E295" s="355" t="s">
        <v>15641</v>
      </c>
      <c r="F295" s="355" t="s">
        <v>1410</v>
      </c>
      <c r="G295" s="355" t="s">
        <v>13459</v>
      </c>
      <c r="H295" s="358" t="s">
        <v>16695</v>
      </c>
      <c r="I295" s="359" t="s">
        <v>1581</v>
      </c>
      <c r="J295" s="359" t="s">
        <v>1582</v>
      </c>
      <c r="K295" s="360" t="s">
        <v>16696</v>
      </c>
      <c r="L295" s="360" t="s">
        <v>16697</v>
      </c>
      <c r="M295" s="360"/>
      <c r="N295" s="360"/>
      <c r="O295" s="360" t="s">
        <v>15713</v>
      </c>
      <c r="P295" s="361"/>
      <c r="Q295" s="362"/>
      <c r="R295" s="215" t="str">
        <f ca="1">IF(ISERROR($V295),"",OFFSET('Smelter Look-up'!$C$4,$V295-4,0)&amp;"")</f>
        <v>Dowa</v>
      </c>
      <c r="S295" s="222" t="str">
        <f t="shared" ca="1" si="39"/>
        <v>JP</v>
      </c>
      <c r="T295" s="222" t="str">
        <f ca="1">IF(B295="","",IF(ISERROR(MATCH($J295,SorP!$B$1:$B$6230,0)),"",INDIRECT("'SorP'!$A$"&amp;MATCH($J295,SorP!$B$1:$B$6230,0))))</f>
        <v>JP-05</v>
      </c>
      <c r="U295" s="238"/>
      <c r="V295" s="270">
        <f>IF(C295="",NA(),MATCH($B295&amp;$C295,'Smelter Look-up'!$J:$J,0))</f>
        <v>409</v>
      </c>
      <c r="W295" s="271"/>
      <c r="X295" s="271">
        <f t="shared" si="40"/>
        <v>0</v>
      </c>
      <c r="Y295" s="271"/>
      <c r="Z295" s="271"/>
      <c r="AB295" s="273" t="str">
        <f t="shared" si="41"/>
        <v>TinDowa</v>
      </c>
    </row>
    <row r="296" spans="1:28" s="272" customFormat="1" ht="51">
      <c r="A296" s="363" t="s">
        <v>1795</v>
      </c>
      <c r="B296" s="355" t="s">
        <v>1131</v>
      </c>
      <c r="C296" s="356" t="s">
        <v>2165</v>
      </c>
      <c r="D296" s="357"/>
      <c r="E296" s="355" t="s">
        <v>15631</v>
      </c>
      <c r="F296" s="355" t="s">
        <v>1795</v>
      </c>
      <c r="G296" s="355" t="s">
        <v>13459</v>
      </c>
      <c r="H296" s="358" t="s">
        <v>16699</v>
      </c>
      <c r="I296" s="359" t="s">
        <v>1796</v>
      </c>
      <c r="J296" s="359" t="s">
        <v>1642</v>
      </c>
      <c r="K296" s="360" t="s">
        <v>16700</v>
      </c>
      <c r="L296" s="360" t="s">
        <v>16701</v>
      </c>
      <c r="M296" s="360"/>
      <c r="N296" s="360"/>
      <c r="O296" s="360" t="s">
        <v>16702</v>
      </c>
      <c r="P296" s="361"/>
      <c r="Q296" s="362"/>
      <c r="R296" s="215" t="str">
        <f ca="1">IF(ISERROR($V296),"",OFFSET('Smelter Look-up'!$C$4,$V296-4,0)&amp;"")</f>
        <v>Metallic Resources, Inc.</v>
      </c>
      <c r="S296" s="222" t="str">
        <f t="shared" ca="1" si="39"/>
        <v>US</v>
      </c>
      <c r="T296" s="222" t="str">
        <f ca="1">IF(B296="","",IF(ISERROR(MATCH($J296,SorP!$B$1:$B$6230,0)),"",INDIRECT("'SorP'!$A$"&amp;MATCH($J296,SorP!$B$1:$B$6230,0))))</f>
        <v>US-OH</v>
      </c>
      <c r="U296" s="238"/>
      <c r="V296" s="270">
        <f>IF(C296="",NA(),MATCH($B296&amp;$C296,'Smelter Look-up'!$J:$J,0))</f>
        <v>453</v>
      </c>
      <c r="W296" s="271"/>
      <c r="X296" s="271">
        <f t="shared" si="40"/>
        <v>0</v>
      </c>
      <c r="Y296" s="271"/>
      <c r="Z296" s="271"/>
      <c r="AB296" s="273" t="str">
        <f t="shared" si="41"/>
        <v>TinMetallic Resources, Inc.</v>
      </c>
    </row>
    <row r="297" spans="1:28" s="272" customFormat="1" ht="76.5">
      <c r="A297" s="363" t="s">
        <v>1627</v>
      </c>
      <c r="B297" s="355" t="s">
        <v>1130</v>
      </c>
      <c r="C297" s="356" t="s">
        <v>1626</v>
      </c>
      <c r="D297" s="357"/>
      <c r="E297" s="355" t="s">
        <v>15646</v>
      </c>
      <c r="F297" s="355" t="s">
        <v>1627</v>
      </c>
      <c r="G297" s="355" t="s">
        <v>13459</v>
      </c>
      <c r="H297" s="358" t="s">
        <v>16703</v>
      </c>
      <c r="I297" s="359" t="s">
        <v>2544</v>
      </c>
      <c r="J297" s="359" t="s">
        <v>13855</v>
      </c>
      <c r="K297" s="360" t="s">
        <v>16704</v>
      </c>
      <c r="L297" s="360" t="s">
        <v>16705</v>
      </c>
      <c r="M297" s="360"/>
      <c r="N297" s="360"/>
      <c r="O297" s="360" t="s">
        <v>16706</v>
      </c>
      <c r="P297" s="361"/>
      <c r="Q297" s="362"/>
      <c r="R297" s="215" t="str">
        <f ca="1">IF(ISERROR($V297),"",OFFSET('Smelter Look-up'!$C$4,$V297-4,0)&amp;"")</f>
        <v>Metalor Technologies (Suzhou) Ltd.</v>
      </c>
      <c r="S297" s="222" t="str">
        <f t="shared" ca="1" si="39"/>
        <v>CN</v>
      </c>
      <c r="T297" s="222" t="str">
        <f ca="1">IF(B297="","",IF(ISERROR(MATCH($J297,SorP!$B$1:$B$6230,0)),"",INDIRECT("'SorP'!$A$"&amp;MATCH($J297,SorP!$B$1:$B$6230,0))))</f>
        <v>CN-JS</v>
      </c>
      <c r="U297" s="238"/>
      <c r="V297" s="270">
        <f>IF(C297="",NA(),MATCH($B297&amp;$C297,'Smelter Look-up'!$J:$J,0))</f>
        <v>170</v>
      </c>
      <c r="W297" s="271"/>
      <c r="X297" s="271">
        <f t="shared" si="40"/>
        <v>0</v>
      </c>
      <c r="Y297" s="271"/>
      <c r="Z297" s="271"/>
      <c r="AB297" s="273" t="str">
        <f t="shared" si="41"/>
        <v>GoldMetalor Technologies (Suzhou) Ltd.</v>
      </c>
    </row>
    <row r="298" spans="1:28" s="272" customFormat="1" ht="89.25">
      <c r="A298" s="363" t="s">
        <v>705</v>
      </c>
      <c r="B298" s="355" t="s">
        <v>1130</v>
      </c>
      <c r="C298" s="356" t="s">
        <v>2166</v>
      </c>
      <c r="D298" s="357"/>
      <c r="E298" s="355" t="s">
        <v>15646</v>
      </c>
      <c r="F298" s="355" t="s">
        <v>705</v>
      </c>
      <c r="G298" s="355" t="s">
        <v>13459</v>
      </c>
      <c r="H298" s="358" t="s">
        <v>16707</v>
      </c>
      <c r="I298" s="359" t="s">
        <v>1628</v>
      </c>
      <c r="J298" s="359" t="s">
        <v>14067</v>
      </c>
      <c r="K298" s="360" t="s">
        <v>16261</v>
      </c>
      <c r="L298" s="360" t="s">
        <v>16262</v>
      </c>
      <c r="M298" s="360"/>
      <c r="N298" s="360"/>
      <c r="O298" s="360" t="s">
        <v>16708</v>
      </c>
      <c r="P298" s="361"/>
      <c r="Q298" s="362"/>
      <c r="R298" s="215" t="str">
        <f ca="1">IF(ISERROR($V298),"",OFFSET('Smelter Look-up'!$C$4,$V298-4,0)&amp;"")</f>
        <v>Metalor Technologies (Hong Kong) Ltd.</v>
      </c>
      <c r="S298" s="222" t="str">
        <f t="shared" ca="1" si="39"/>
        <v>CN</v>
      </c>
      <c r="T298" s="222" t="str">
        <f ca="1">IF(B298="","",IF(ISERROR(MATCH($J298,SorP!$B$1:$B$6230,0)),"",INDIRECT("'SorP'!$A$"&amp;MATCH($J298,SorP!$B$1:$B$6230,0))))</f>
        <v>CN-HK</v>
      </c>
      <c r="U298" s="238"/>
      <c r="V298" s="270">
        <f>IF(C298="",NA(),MATCH($B298&amp;$C298,'Smelter Look-up'!$J:$J,0))</f>
        <v>168</v>
      </c>
      <c r="W298" s="271"/>
      <c r="X298" s="271">
        <f t="shared" si="40"/>
        <v>0</v>
      </c>
      <c r="Y298" s="271"/>
      <c r="Z298" s="271"/>
      <c r="AB298" s="273" t="str">
        <f t="shared" si="41"/>
        <v>GoldMetalor Technologies (Hong Kong) Ltd.</v>
      </c>
    </row>
    <row r="299" spans="1:28" s="272" customFormat="1" ht="99.75" customHeight="1">
      <c r="A299" s="363" t="s">
        <v>758</v>
      </c>
      <c r="B299" s="355" t="s">
        <v>1132</v>
      </c>
      <c r="C299" s="356" t="s">
        <v>2560</v>
      </c>
      <c r="D299" s="357"/>
      <c r="E299" s="355" t="s">
        <v>16709</v>
      </c>
      <c r="F299" s="355" t="s">
        <v>758</v>
      </c>
      <c r="G299" s="355" t="s">
        <v>13459</v>
      </c>
      <c r="H299" s="358" t="s">
        <v>16710</v>
      </c>
      <c r="I299" s="359" t="s">
        <v>1740</v>
      </c>
      <c r="J299" s="359" t="s">
        <v>1741</v>
      </c>
      <c r="K299" s="360" t="s">
        <v>16711</v>
      </c>
      <c r="L299" s="360" t="s">
        <v>16712</v>
      </c>
      <c r="M299" s="360"/>
      <c r="N299" s="360"/>
      <c r="O299" s="360" t="s">
        <v>16713</v>
      </c>
      <c r="P299" s="361"/>
      <c r="Q299" s="362"/>
      <c r="R299" s="215" t="str">
        <f ca="1">IF(ISERROR($V299),"",OFFSET('Smelter Look-up'!$C$4,$V299-4,0)&amp;"")</f>
        <v>NPM Silmet AS</v>
      </c>
      <c r="S299" s="222" t="str">
        <f t="shared" ca="1" si="39"/>
        <v>EE</v>
      </c>
      <c r="T299" s="222" t="str">
        <f ca="1">IF(B299="","",IF(ISERROR(MATCH($J299,SorP!$B$1:$B$6230,0)),"",INDIRECT("'SorP'!$A$"&amp;MATCH($J299,SorP!$B$1:$B$6230,0))))</f>
        <v>EE-44</v>
      </c>
      <c r="U299" s="238"/>
      <c r="V299" s="270">
        <f>IF(C299="",NA(),MATCH($B299&amp;$C299,'Smelter Look-up'!$J:$J,0))</f>
        <v>353</v>
      </c>
      <c r="W299" s="271"/>
      <c r="X299" s="271">
        <f t="shared" si="40"/>
        <v>0</v>
      </c>
      <c r="Y299" s="271"/>
      <c r="Z299" s="271"/>
      <c r="AB299" s="273" t="str">
        <f t="shared" si="41"/>
        <v>TantalumNPM Silmet AS</v>
      </c>
    </row>
    <row r="300" spans="1:28" s="272" customFormat="1" ht="76.5">
      <c r="A300" s="363" t="s">
        <v>712</v>
      </c>
      <c r="B300" s="355" t="s">
        <v>1130</v>
      </c>
      <c r="C300" s="356" t="s">
        <v>911</v>
      </c>
      <c r="D300" s="357"/>
      <c r="E300" s="355" t="s">
        <v>15697</v>
      </c>
      <c r="F300" s="355" t="s">
        <v>712</v>
      </c>
      <c r="G300" s="355" t="s">
        <v>13459</v>
      </c>
      <c r="H300" s="358" t="s">
        <v>16714</v>
      </c>
      <c r="I300" s="359" t="s">
        <v>1637</v>
      </c>
      <c r="J300" s="359" t="s">
        <v>10102</v>
      </c>
      <c r="K300" s="360" t="s">
        <v>15625</v>
      </c>
      <c r="L300" s="360" t="s">
        <v>16715</v>
      </c>
      <c r="M300" s="360"/>
      <c r="N300" s="360"/>
      <c r="O300" s="360" t="s">
        <v>16716</v>
      </c>
      <c r="P300" s="361"/>
      <c r="Q300" s="362"/>
      <c r="R300" s="215" t="str">
        <f ca="1">IF(ISERROR($V300),"",OFFSET('Smelter Look-up'!$C$4,$V300-4,0)&amp;"")</f>
        <v>Moscow Special Alloys Processing Plant</v>
      </c>
      <c r="S300" s="222" t="str">
        <f t="shared" ca="1" si="39"/>
        <v>RU</v>
      </c>
      <c r="T300" s="222" t="str">
        <f ca="1">IF(B300="","",IF(ISERROR(MATCH($J300,SorP!$B$1:$B$6230,0)),"",INDIRECT("'SorP'!$A$"&amp;MATCH($J300,SorP!$B$1:$B$6230,0))))</f>
        <v>RU-MOW</v>
      </c>
      <c r="U300" s="238"/>
      <c r="V300" s="270">
        <f>IF(C300="",NA(),MATCH($B300&amp;$C300,'Smelter Look-up'!$J:$J,0))</f>
        <v>183</v>
      </c>
      <c r="W300" s="271"/>
      <c r="X300" s="271">
        <f t="shared" si="40"/>
        <v>0</v>
      </c>
      <c r="Y300" s="271"/>
      <c r="Z300" s="271"/>
      <c r="AB300" s="273" t="str">
        <f t="shared" si="41"/>
        <v>GoldMoscow Special Alloys Processing Plant</v>
      </c>
    </row>
    <row r="301" spans="1:28" s="272" customFormat="1" ht="63.75">
      <c r="A301" s="363" t="s">
        <v>15402</v>
      </c>
      <c r="B301" s="355" t="s">
        <v>1131</v>
      </c>
      <c r="C301" s="356" t="s">
        <v>15401</v>
      </c>
      <c r="D301" s="357"/>
      <c r="E301" s="355" t="s">
        <v>15669</v>
      </c>
      <c r="F301" s="355" t="s">
        <v>15402</v>
      </c>
      <c r="G301" s="355" t="s">
        <v>13459</v>
      </c>
      <c r="H301" s="358" t="s">
        <v>16717</v>
      </c>
      <c r="I301" s="359" t="s">
        <v>15438</v>
      </c>
      <c r="J301" s="359" t="s">
        <v>13066</v>
      </c>
      <c r="K301" s="360" t="s">
        <v>16718</v>
      </c>
      <c r="L301" s="360" t="s">
        <v>16719</v>
      </c>
      <c r="M301" s="360"/>
      <c r="N301" s="360"/>
      <c r="O301" s="360" t="s">
        <v>16720</v>
      </c>
      <c r="P301" s="361"/>
      <c r="Q301" s="362"/>
      <c r="R301" s="215" t="str">
        <f ca="1">IF(ISERROR($V301),"",OFFSET('Smelter Look-up'!$C$4,$V301-4,0)&amp;"")</f>
        <v>PT Prima Timah Utama</v>
      </c>
      <c r="S301" s="222" t="str">
        <f t="shared" ca="1" si="39"/>
        <v>ID</v>
      </c>
      <c r="T301" s="222" t="str">
        <f ca="1">IF(B301="","",IF(ISERROR(MATCH($J301,SorP!$B$1:$B$6230,0)),"",INDIRECT("'SorP'!$A$"&amp;MATCH($J301,SorP!$B$1:$B$6230,0))))</f>
        <v>ID-BB</v>
      </c>
      <c r="U301" s="238"/>
      <c r="V301" s="270">
        <f>IF(C301="",NA(),MATCH($B301&amp;$C301,'Smelter Look-up'!$J:$J,0))</f>
        <v>484</v>
      </c>
      <c r="W301" s="271"/>
      <c r="X301" s="271">
        <f t="shared" si="40"/>
        <v>0</v>
      </c>
      <c r="Y301" s="271"/>
      <c r="Z301" s="271"/>
      <c r="AB301" s="273" t="str">
        <f t="shared" si="41"/>
        <v>TinPT Prima Timah Utama</v>
      </c>
    </row>
    <row r="302" spans="1:28" s="272" customFormat="1" ht="76.5">
      <c r="A302" s="363" t="s">
        <v>15392</v>
      </c>
      <c r="B302" s="355" t="s">
        <v>1131</v>
      </c>
      <c r="C302" s="356" t="s">
        <v>15391</v>
      </c>
      <c r="D302" s="357"/>
      <c r="E302" s="355" t="s">
        <v>15836</v>
      </c>
      <c r="F302" s="355" t="s">
        <v>15392</v>
      </c>
      <c r="G302" s="355" t="s">
        <v>13459</v>
      </c>
      <c r="H302" s="358"/>
      <c r="I302" s="359" t="s">
        <v>15440</v>
      </c>
      <c r="J302" s="359" t="s">
        <v>12382</v>
      </c>
      <c r="K302" s="360"/>
      <c r="L302" s="360"/>
      <c r="M302" s="360"/>
      <c r="N302" s="360"/>
      <c r="O302" s="360" t="s">
        <v>15712</v>
      </c>
      <c r="P302" s="361"/>
      <c r="Q302" s="362"/>
      <c r="R302" s="215" t="str">
        <f ca="1">IF(ISERROR($V302),"",OFFSET('Smelter Look-up'!$C$4,$V302-4,0)&amp;"")</f>
        <v>VQB Mineral and Trading Group JSC</v>
      </c>
      <c r="S302" s="222" t="str">
        <f t="shared" ca="1" si="39"/>
        <v>VN</v>
      </c>
      <c r="T302" s="222" t="str">
        <f ca="1">IF(B302="","",IF(ISERROR(MATCH($J302,SorP!$B$1:$B$6230,0)),"",INDIRECT("'SorP'!$A$"&amp;MATCH($J302,SorP!$B$1:$B$6230,0))))</f>
        <v>VN-HN</v>
      </c>
      <c r="U302" s="238"/>
      <c r="V302" s="270">
        <f>IF(C302="",NA(),MATCH($B302&amp;$C302,'Smelter Look-up'!$J:$J,0))</f>
        <v>511</v>
      </c>
      <c r="W302" s="271"/>
      <c r="X302" s="271">
        <f t="shared" si="40"/>
        <v>0</v>
      </c>
      <c r="Y302" s="271"/>
      <c r="Z302" s="271"/>
      <c r="AB302" s="273" t="str">
        <f t="shared" si="41"/>
        <v>TinVQB Mineral and Trading Group JSC</v>
      </c>
    </row>
    <row r="303" spans="1:28" s="272" customFormat="1" ht="71.25" customHeight="1">
      <c r="A303" s="363" t="s">
        <v>741</v>
      </c>
      <c r="B303" s="355" t="s">
        <v>1130</v>
      </c>
      <c r="C303" s="356" t="s">
        <v>2519</v>
      </c>
      <c r="D303" s="357"/>
      <c r="E303" s="355" t="s">
        <v>16720</v>
      </c>
      <c r="F303" s="355" t="s">
        <v>741</v>
      </c>
      <c r="G303" s="355" t="s">
        <v>13459</v>
      </c>
      <c r="H303" s="358" t="s">
        <v>16721</v>
      </c>
      <c r="I303" s="359" t="s">
        <v>1688</v>
      </c>
      <c r="J303" s="359" t="s">
        <v>1689</v>
      </c>
      <c r="K303" s="360" t="s">
        <v>16722</v>
      </c>
      <c r="L303" s="360" t="s">
        <v>16723</v>
      </c>
      <c r="M303" s="360"/>
      <c r="N303" s="360"/>
      <c r="O303" s="360" t="s">
        <v>16724</v>
      </c>
      <c r="P303" s="361"/>
      <c r="Q303" s="362"/>
      <c r="R303" s="215" t="str">
        <f ca="1">IF(ISERROR($V303),"",OFFSET('Smelter Look-up'!$C$4,$V303-4,0)&amp;"")</f>
        <v>Western Australian Mint (T/a The Perth Mint)</v>
      </c>
      <c r="S303" s="222" t="str">
        <f t="shared" ca="1" si="39"/>
        <v>AU</v>
      </c>
      <c r="T303" s="222" t="str">
        <f ca="1">IF(B303="","",IF(ISERROR(MATCH($J303,SorP!$B$1:$B$6230,0)),"",INDIRECT("'SorP'!$A$"&amp;MATCH($J303,SorP!$B$1:$B$6230,0))))</f>
        <v>AU-WA</v>
      </c>
      <c r="U303" s="238"/>
      <c r="V303" s="270">
        <f>IF(C303="",NA(),MATCH($B303&amp;$C303,'Smelter Look-up'!$J:$J,0))</f>
        <v>291</v>
      </c>
      <c r="W303" s="271"/>
      <c r="X303" s="271">
        <f t="shared" si="40"/>
        <v>0</v>
      </c>
      <c r="Y303" s="271"/>
      <c r="Z303" s="271"/>
      <c r="AB303" s="273" t="str">
        <f t="shared" si="41"/>
        <v>GoldWestern Australian Mint (T/a The Perth Mint)</v>
      </c>
    </row>
    <row r="304" spans="1:28" s="272" customFormat="1" ht="38.25">
      <c r="A304" s="363" t="s">
        <v>2227</v>
      </c>
      <c r="B304" s="355" t="s">
        <v>1130</v>
      </c>
      <c r="C304" s="356" t="s">
        <v>2226</v>
      </c>
      <c r="D304" s="357"/>
      <c r="E304" s="355" t="s">
        <v>16725</v>
      </c>
      <c r="F304" s="355" t="s">
        <v>2227</v>
      </c>
      <c r="G304" s="355" t="s">
        <v>13459</v>
      </c>
      <c r="H304" s="358" t="s">
        <v>16726</v>
      </c>
      <c r="I304" s="359" t="s">
        <v>2338</v>
      </c>
      <c r="J304" s="359" t="s">
        <v>2228</v>
      </c>
      <c r="K304" s="360" t="s">
        <v>16727</v>
      </c>
      <c r="L304" s="360" t="s">
        <v>16728</v>
      </c>
      <c r="M304" s="360"/>
      <c r="N304" s="360"/>
      <c r="O304" s="360" t="s">
        <v>16729</v>
      </c>
      <c r="P304" s="361"/>
      <c r="Q304" s="362"/>
      <c r="R304" s="215" t="str">
        <f ca="1">IF(ISERROR($V304),"",OFFSET('Smelter Look-up'!$C$4,$V304-4,0)&amp;"")</f>
        <v>Morris and Watson</v>
      </c>
      <c r="S304" s="222" t="str">
        <f t="shared" ref="S304" ca="1" si="42">IF(B304="","",IF(ISERROR(MATCH($E304,CL,0)),"Unknown",INDIRECT("'C'!$A$"&amp;MATCH($E304,CL,0)+1)))</f>
        <v>NZ</v>
      </c>
      <c r="T304" s="222" t="str">
        <f ca="1">IF(B304="","",IF(ISERROR(MATCH($J304,SorP!$B$1:$B$6230,0)),"",INDIRECT("'SorP'!$A$"&amp;MATCH($J304,SorP!$B$1:$B$6230,0))))</f>
        <v>NZ-AUK</v>
      </c>
      <c r="U304" s="238"/>
      <c r="V304" s="270">
        <f>IF(C304="",NA(),MATCH($B304&amp;$C304,'Smelter Look-up'!$J:$J,0))</f>
        <v>182</v>
      </c>
      <c r="W304" s="271"/>
      <c r="X304" s="271">
        <f t="shared" ref="X304" si="43">IF(AND(C304="Smelter not listed",OR(LEN(D304)=0,LEN(E304)=0)),1,0)</f>
        <v>0</v>
      </c>
      <c r="Y304" s="271"/>
      <c r="Z304" s="271"/>
      <c r="AB304" s="273" t="str">
        <f t="shared" ref="AB304" si="44">B304&amp;C304</f>
        <v>GoldMorris and Watson</v>
      </c>
    </row>
    <row r="305" spans="1:28" s="272" customFormat="1" ht="25.5">
      <c r="A305" s="363" t="s">
        <v>2344</v>
      </c>
      <c r="B305" s="355" t="s">
        <v>1130</v>
      </c>
      <c r="C305" s="356" t="s">
        <v>2343</v>
      </c>
      <c r="D305" s="357"/>
      <c r="E305" s="355" t="s">
        <v>16730</v>
      </c>
      <c r="F305" s="355" t="s">
        <v>2344</v>
      </c>
      <c r="G305" s="355" t="s">
        <v>13459</v>
      </c>
      <c r="H305" s="358" t="s">
        <v>16731</v>
      </c>
      <c r="I305" s="359" t="s">
        <v>2345</v>
      </c>
      <c r="J305" s="359" t="s">
        <v>4189</v>
      </c>
      <c r="K305" s="360" t="s">
        <v>16732</v>
      </c>
      <c r="L305" s="360" t="s">
        <v>16733</v>
      </c>
      <c r="M305" s="360"/>
      <c r="N305" s="360"/>
      <c r="O305" s="360" t="s">
        <v>16734</v>
      </c>
      <c r="P305" s="361"/>
      <c r="Q305" s="362"/>
      <c r="R305" s="215" t="str">
        <f ca="1">IF(ISERROR($V305),"",OFFSET('Smelter Look-up'!$C$4,$V305-4,0)&amp;"")</f>
        <v>SAFINA A.S.</v>
      </c>
      <c r="S305" s="222" t="str">
        <f t="shared" ref="S305:S332" ca="1" si="45">IF(B305="","",IF(ISERROR(MATCH($E305,CL,0)),"Unknown",INDIRECT("'C'!$A$"&amp;MATCH($E305,CL,0)+1)))</f>
        <v>CZ</v>
      </c>
      <c r="T305" s="222" t="str">
        <f ca="1">IF(B305="","",IF(ISERROR(MATCH($J305,SorP!$B$1:$B$6230,0)),"",INDIRECT("'SorP'!$A$"&amp;MATCH($J305,SorP!$B$1:$B$6230,0))))</f>
        <v>CZ-20A</v>
      </c>
      <c r="U305" s="238"/>
      <c r="V305" s="270">
        <f>IF(C305="",NA(),MATCH($B305&amp;$C305,'Smelter Look-up'!$J:$J,0))</f>
        <v>219</v>
      </c>
      <c r="W305" s="271"/>
      <c r="X305" s="271">
        <f t="shared" ref="X305:X332" si="46">IF(AND(C305="Smelter not listed",OR(LEN(D305)=0,LEN(E305)=0)),1,0)</f>
        <v>0</v>
      </c>
      <c r="Y305" s="271"/>
      <c r="Z305" s="271"/>
      <c r="AB305" s="273" t="str">
        <f t="shared" ref="AB305:AB332" si="47">B305&amp;C305</f>
        <v>GoldSAFINA A.S.</v>
      </c>
    </row>
    <row r="306" spans="1:28" s="272" customFormat="1" ht="89.25">
      <c r="A306" s="363" t="s">
        <v>15327</v>
      </c>
      <c r="B306" s="355" t="s">
        <v>1130</v>
      </c>
      <c r="C306" s="356" t="s">
        <v>15326</v>
      </c>
      <c r="D306" s="357"/>
      <c r="E306" s="355" t="s">
        <v>15958</v>
      </c>
      <c r="F306" s="355" t="s">
        <v>15327</v>
      </c>
      <c r="G306" s="355" t="s">
        <v>13459</v>
      </c>
      <c r="H306" s="358" t="s">
        <v>16735</v>
      </c>
      <c r="I306" s="359" t="s">
        <v>15422</v>
      </c>
      <c r="J306" s="359" t="s">
        <v>6293</v>
      </c>
      <c r="K306" s="360" t="s">
        <v>16736</v>
      </c>
      <c r="L306" s="360" t="s">
        <v>16737</v>
      </c>
      <c r="M306" s="360"/>
      <c r="N306" s="360"/>
      <c r="O306" s="360" t="s">
        <v>15712</v>
      </c>
      <c r="P306" s="361"/>
      <c r="Q306" s="362"/>
      <c r="R306" s="215" t="str">
        <f ca="1">IF(ISERROR($V306),"",OFFSET('Smelter Look-up'!$C$4,$V306-4,0)&amp;"")</f>
        <v>Emerald Jewel Industry India Limited (Unit 1)</v>
      </c>
      <c r="S306" s="222" t="str">
        <f t="shared" ca="1" si="45"/>
        <v>IN</v>
      </c>
      <c r="T306" s="222" t="str">
        <f ca="1">IF(B306="","",IF(ISERROR(MATCH($J306,SorP!$B$1:$B$6230,0)),"",INDIRECT("'SorP'!$A$"&amp;MATCH($J306,SorP!$B$1:$B$6230,0))))</f>
        <v>IN-TN</v>
      </c>
      <c r="U306" s="238"/>
      <c r="V306" s="270">
        <f>IF(C306="",NA(),MATCH($B306&amp;$C306,'Smelter Look-up'!$J:$J,0))</f>
        <v>74</v>
      </c>
      <c r="W306" s="271"/>
      <c r="X306" s="271">
        <f t="shared" si="46"/>
        <v>0</v>
      </c>
      <c r="Y306" s="271"/>
      <c r="Z306" s="271"/>
      <c r="AB306" s="273" t="str">
        <f t="shared" si="47"/>
        <v>GoldEmerald Jewel Industry India Limited (Unit 1)</v>
      </c>
    </row>
    <row r="307" spans="1:28" s="272" customFormat="1" ht="89.25">
      <c r="A307" s="363" t="s">
        <v>15329</v>
      </c>
      <c r="B307" s="355" t="s">
        <v>1130</v>
      </c>
      <c r="C307" s="356" t="s">
        <v>15328</v>
      </c>
      <c r="D307" s="357"/>
      <c r="E307" s="355" t="s">
        <v>15958</v>
      </c>
      <c r="F307" s="355" t="s">
        <v>15329</v>
      </c>
      <c r="G307" s="355" t="s">
        <v>13459</v>
      </c>
      <c r="H307" s="358" t="s">
        <v>16735</v>
      </c>
      <c r="I307" s="359" t="s">
        <v>15422</v>
      </c>
      <c r="J307" s="359" t="s">
        <v>6293</v>
      </c>
      <c r="K307" s="360" t="s">
        <v>16736</v>
      </c>
      <c r="L307" s="360" t="s">
        <v>16737</v>
      </c>
      <c r="M307" s="360"/>
      <c r="N307" s="360"/>
      <c r="O307" s="360" t="s">
        <v>15712</v>
      </c>
      <c r="P307" s="361"/>
      <c r="Q307" s="362"/>
      <c r="R307" s="215" t="str">
        <f ca="1">IF(ISERROR($V307),"",OFFSET('Smelter Look-up'!$C$4,$V307-4,0)&amp;"")</f>
        <v>Emerald Jewel Industry India Limited (Unit 2)</v>
      </c>
      <c r="S307" s="222" t="str">
        <f t="shared" ca="1" si="45"/>
        <v>IN</v>
      </c>
      <c r="T307" s="222" t="str">
        <f ca="1">IF(B307="","",IF(ISERROR(MATCH($J307,SorP!$B$1:$B$6230,0)),"",INDIRECT("'SorP'!$A$"&amp;MATCH($J307,SorP!$B$1:$B$6230,0))))</f>
        <v>IN-TN</v>
      </c>
      <c r="U307" s="238"/>
      <c r="V307" s="270">
        <f>IF(C307="",NA(),MATCH($B307&amp;$C307,'Smelter Look-up'!$J:$J,0))</f>
        <v>75</v>
      </c>
      <c r="W307" s="271"/>
      <c r="X307" s="271">
        <f t="shared" si="46"/>
        <v>0</v>
      </c>
      <c r="Y307" s="271"/>
      <c r="Z307" s="271"/>
      <c r="AB307" s="273" t="str">
        <f t="shared" si="47"/>
        <v>GoldEmerald Jewel Industry India Limited (Unit 2)</v>
      </c>
    </row>
    <row r="308" spans="1:28" s="272" customFormat="1" ht="89.25">
      <c r="A308" s="363" t="s">
        <v>15331</v>
      </c>
      <c r="B308" s="355" t="s">
        <v>1130</v>
      </c>
      <c r="C308" s="356" t="s">
        <v>15330</v>
      </c>
      <c r="D308" s="357"/>
      <c r="E308" s="355" t="s">
        <v>15958</v>
      </c>
      <c r="F308" s="355" t="s">
        <v>15331</v>
      </c>
      <c r="G308" s="355" t="s">
        <v>13459</v>
      </c>
      <c r="H308" s="358" t="s">
        <v>16735</v>
      </c>
      <c r="I308" s="359" t="s">
        <v>15422</v>
      </c>
      <c r="J308" s="359" t="s">
        <v>6293</v>
      </c>
      <c r="K308" s="360" t="s">
        <v>16736</v>
      </c>
      <c r="L308" s="360" t="s">
        <v>16737</v>
      </c>
      <c r="M308" s="360"/>
      <c r="N308" s="360"/>
      <c r="O308" s="360" t="s">
        <v>15712</v>
      </c>
      <c r="P308" s="361"/>
      <c r="Q308" s="362"/>
      <c r="R308" s="215" t="str">
        <f ca="1">IF(ISERROR($V308),"",OFFSET('Smelter Look-up'!$C$4,$V308-4,0)&amp;"")</f>
        <v>Emerald Jewel Industry India Limited (Unit 3)</v>
      </c>
      <c r="S308" s="222" t="str">
        <f t="shared" ca="1" si="45"/>
        <v>IN</v>
      </c>
      <c r="T308" s="222" t="str">
        <f ca="1">IF(B308="","",IF(ISERROR(MATCH($J308,SorP!$B$1:$B$6230,0)),"",INDIRECT("'SorP'!$A$"&amp;MATCH($J308,SorP!$B$1:$B$6230,0))))</f>
        <v>IN-TN</v>
      </c>
      <c r="U308" s="238"/>
      <c r="V308" s="270">
        <f>IF(C308="",NA(),MATCH($B308&amp;$C308,'Smelter Look-up'!$J:$J,0))</f>
        <v>76</v>
      </c>
      <c r="W308" s="271"/>
      <c r="X308" s="271">
        <f t="shared" si="46"/>
        <v>0</v>
      </c>
      <c r="Y308" s="271"/>
      <c r="Z308" s="271"/>
      <c r="AB308" s="273" t="str">
        <f t="shared" si="47"/>
        <v>GoldEmerald Jewel Industry India Limited (Unit 3)</v>
      </c>
    </row>
    <row r="309" spans="1:28" s="272" customFormat="1" ht="89.25">
      <c r="A309" s="363" t="s">
        <v>15333</v>
      </c>
      <c r="B309" s="355" t="s">
        <v>1130</v>
      </c>
      <c r="C309" s="356" t="s">
        <v>15332</v>
      </c>
      <c r="D309" s="357"/>
      <c r="E309" s="355" t="s">
        <v>15958</v>
      </c>
      <c r="F309" s="355" t="s">
        <v>15333</v>
      </c>
      <c r="G309" s="355" t="s">
        <v>13459</v>
      </c>
      <c r="H309" s="358" t="s">
        <v>16735</v>
      </c>
      <c r="I309" s="359" t="s">
        <v>15422</v>
      </c>
      <c r="J309" s="359" t="s">
        <v>6293</v>
      </c>
      <c r="K309" s="360" t="s">
        <v>16736</v>
      </c>
      <c r="L309" s="360" t="s">
        <v>16737</v>
      </c>
      <c r="M309" s="360"/>
      <c r="N309" s="360"/>
      <c r="O309" s="360" t="s">
        <v>15712</v>
      </c>
      <c r="P309" s="361"/>
      <c r="Q309" s="362"/>
      <c r="R309" s="215" t="str">
        <f ca="1">IF(ISERROR($V309),"",OFFSET('Smelter Look-up'!$C$4,$V309-4,0)&amp;"")</f>
        <v>Emerald Jewel Industry India Limited (Unit 4)</v>
      </c>
      <c r="S309" s="222" t="str">
        <f t="shared" ca="1" si="45"/>
        <v>IN</v>
      </c>
      <c r="T309" s="222" t="str">
        <f ca="1">IF(B309="","",IF(ISERROR(MATCH($J309,SorP!$B$1:$B$6230,0)),"",INDIRECT("'SorP'!$A$"&amp;MATCH($J309,SorP!$B$1:$B$6230,0))))</f>
        <v>IN-TN</v>
      </c>
      <c r="U309" s="238"/>
      <c r="V309" s="270">
        <f>IF(C309="",NA(),MATCH($B309&amp;$C309,'Smelter Look-up'!$J:$J,0))</f>
        <v>77</v>
      </c>
      <c r="W309" s="271"/>
      <c r="X309" s="271">
        <f t="shared" si="46"/>
        <v>0</v>
      </c>
      <c r="Y309" s="271"/>
      <c r="Z309" s="271"/>
      <c r="AB309" s="273" t="str">
        <f t="shared" si="47"/>
        <v>GoldEmerald Jewel Industry India Limited (Unit 4)</v>
      </c>
    </row>
    <row r="310" spans="1:28" s="272" customFormat="1" ht="25.5">
      <c r="A310" s="363" t="s">
        <v>15322</v>
      </c>
      <c r="B310" s="355" t="s">
        <v>1130</v>
      </c>
      <c r="C310" s="356" t="s">
        <v>15321</v>
      </c>
      <c r="D310" s="357"/>
      <c r="E310" s="355" t="s">
        <v>15631</v>
      </c>
      <c r="F310" s="355" t="s">
        <v>15322</v>
      </c>
      <c r="G310" s="355" t="s">
        <v>13459</v>
      </c>
      <c r="H310" s="358" t="s">
        <v>16738</v>
      </c>
      <c r="I310" s="359" t="s">
        <v>15421</v>
      </c>
      <c r="J310" s="359" t="s">
        <v>1642</v>
      </c>
      <c r="K310" s="360" t="s">
        <v>16739</v>
      </c>
      <c r="L310" s="360" t="s">
        <v>16740</v>
      </c>
      <c r="M310" s="360"/>
      <c r="N310" s="360"/>
      <c r="O310" s="360" t="s">
        <v>15712</v>
      </c>
      <c r="P310" s="361"/>
      <c r="Q310" s="362"/>
      <c r="R310" s="215" t="str">
        <f ca="1">IF(ISERROR($V310),"",OFFSET('Smelter Look-up'!$C$4,$V310-4,0)&amp;"")</f>
        <v>Alexy Metals</v>
      </c>
      <c r="S310" s="222" t="str">
        <f t="shared" ca="1" si="45"/>
        <v>US</v>
      </c>
      <c r="T310" s="222" t="str">
        <f ca="1">IF(B310="","",IF(ISERROR(MATCH($J310,SorP!$B$1:$B$6230,0)),"",INDIRECT("'SorP'!$A$"&amp;MATCH($J310,SorP!$B$1:$B$6230,0))))</f>
        <v>US-OH</v>
      </c>
      <c r="U310" s="238"/>
      <c r="V310" s="270">
        <f>IF(C310="",NA(),MATCH($B310&amp;$C310,'Smelter Look-up'!$J:$J,0))</f>
        <v>15</v>
      </c>
      <c r="W310" s="271"/>
      <c r="X310" s="271">
        <f t="shared" si="46"/>
        <v>0</v>
      </c>
      <c r="Y310" s="271"/>
      <c r="Z310" s="271"/>
      <c r="AB310" s="273" t="str">
        <f t="shared" si="47"/>
        <v>GoldAlexy Metals</v>
      </c>
    </row>
    <row r="311" spans="1:28" s="272" customFormat="1" ht="51">
      <c r="A311" s="363" t="s">
        <v>15349</v>
      </c>
      <c r="B311" s="355" t="s">
        <v>1130</v>
      </c>
      <c r="C311" s="356" t="s">
        <v>15348</v>
      </c>
      <c r="D311" s="357"/>
      <c r="E311" s="355" t="s">
        <v>16741</v>
      </c>
      <c r="F311" s="355" t="s">
        <v>15349</v>
      </c>
      <c r="G311" s="355" t="s">
        <v>13459</v>
      </c>
      <c r="H311" s="358" t="s">
        <v>16742</v>
      </c>
      <c r="I311" s="359" t="s">
        <v>15429</v>
      </c>
      <c r="J311" s="359" t="s">
        <v>8525</v>
      </c>
      <c r="K311" s="360" t="s">
        <v>16743</v>
      </c>
      <c r="L311" s="360" t="s">
        <v>16744</v>
      </c>
      <c r="M311" s="360"/>
      <c r="N311" s="360"/>
      <c r="O311" s="360" t="s">
        <v>15712</v>
      </c>
      <c r="P311" s="361"/>
      <c r="Q311" s="362"/>
      <c r="R311" s="215" t="str">
        <f ca="1">IF(ISERROR($V311),"",OFFSET('Smelter Look-up'!$C$4,$V311-4,0)&amp;"")</f>
        <v>Sellem Industries Ltd.</v>
      </c>
      <c r="S311" s="222" t="str">
        <f t="shared" ca="1" si="45"/>
        <v>MR</v>
      </c>
      <c r="T311" s="222" t="str">
        <f ca="1">IF(B311="","",IF(ISERROR(MATCH($J311,SorP!$B$1:$B$6230,0)),"",INDIRECT("'SorP'!$A$"&amp;MATCH($J311,SorP!$B$1:$B$6230,0))))</f>
        <v>MR-13</v>
      </c>
      <c r="U311" s="238"/>
      <c r="V311" s="270">
        <f>IF(C311="",NA(),MATCH($B311&amp;$C311,'Smelter Look-up'!$J:$J,0))</f>
        <v>228</v>
      </c>
      <c r="W311" s="271"/>
      <c r="X311" s="271">
        <f t="shared" si="46"/>
        <v>0</v>
      </c>
      <c r="Y311" s="271"/>
      <c r="Z311" s="271"/>
      <c r="AB311" s="273" t="str">
        <f t="shared" si="47"/>
        <v>GoldSellem Industries Ltd.</v>
      </c>
    </row>
    <row r="312" spans="1:28" s="272" customFormat="1" ht="64.5" customHeight="1">
      <c r="A312" s="363" t="s">
        <v>1423</v>
      </c>
      <c r="B312" s="355" t="s">
        <v>1132</v>
      </c>
      <c r="C312" s="356" t="s">
        <v>1422</v>
      </c>
      <c r="D312" s="357"/>
      <c r="E312" s="355" t="s">
        <v>15641</v>
      </c>
      <c r="F312" s="355" t="s">
        <v>1423</v>
      </c>
      <c r="G312" s="355" t="s">
        <v>13459</v>
      </c>
      <c r="H312" s="358" t="s">
        <v>16745</v>
      </c>
      <c r="I312" s="359" t="s">
        <v>1765</v>
      </c>
      <c r="J312" s="359" t="s">
        <v>1766</v>
      </c>
      <c r="K312" s="360" t="s">
        <v>15843</v>
      </c>
      <c r="L312" s="360" t="s">
        <v>15844</v>
      </c>
      <c r="M312" s="360"/>
      <c r="N312" s="360"/>
      <c r="O312" s="360" t="s">
        <v>16746</v>
      </c>
      <c r="P312" s="361"/>
      <c r="Q312" s="362"/>
      <c r="R312" s="215" t="str">
        <f ca="1">IF(ISERROR($V312),"",OFFSET('Smelter Look-up'!$C$4,$V312-4,0)&amp;"")</f>
        <v>TANIOBIS Japan Co., Ltd.</v>
      </c>
      <c r="S312" s="222" t="str">
        <f t="shared" ca="1" si="45"/>
        <v>JP</v>
      </c>
      <c r="T312" s="222" t="str">
        <f ca="1">IF(B312="","",IF(ISERROR(MATCH($J312,SorP!$B$1:$B$6230,0)),"",INDIRECT("'SorP'!$A$"&amp;MATCH($J312,SorP!$B$1:$B$6230,0))))</f>
        <v>JP-08</v>
      </c>
      <c r="U312" s="238"/>
      <c r="V312" s="270">
        <f>IF(C312="",NA(),MATCH($B312&amp;$C312,'Smelter Look-up'!$J:$J,0))</f>
        <v>329</v>
      </c>
      <c r="W312" s="271"/>
      <c r="X312" s="271">
        <f t="shared" si="46"/>
        <v>0</v>
      </c>
      <c r="Y312" s="271"/>
      <c r="Z312" s="271"/>
      <c r="AB312" s="273" t="str">
        <f t="shared" si="47"/>
        <v>TantalumH.C. Starck Ltd.</v>
      </c>
    </row>
    <row r="313" spans="1:28" s="272" customFormat="1" ht="127.5">
      <c r="A313" s="363" t="s">
        <v>2224</v>
      </c>
      <c r="B313" s="355" t="s">
        <v>1130</v>
      </c>
      <c r="C313" s="356" t="s">
        <v>12647</v>
      </c>
      <c r="D313" s="357"/>
      <c r="E313" s="355" t="s">
        <v>16405</v>
      </c>
      <c r="F313" s="355" t="s">
        <v>2224</v>
      </c>
      <c r="G313" s="355" t="s">
        <v>13459</v>
      </c>
      <c r="H313" s="358" t="s">
        <v>16747</v>
      </c>
      <c r="I313" s="359" t="s">
        <v>2225</v>
      </c>
      <c r="J313" s="359" t="s">
        <v>2841</v>
      </c>
      <c r="K313" s="360" t="s">
        <v>16748</v>
      </c>
      <c r="L313" s="360" t="s">
        <v>16749</v>
      </c>
      <c r="M313" s="360"/>
      <c r="N313" s="360"/>
      <c r="O313" s="360" t="s">
        <v>16750</v>
      </c>
      <c r="P313" s="361"/>
      <c r="Q313" s="362"/>
      <c r="R313" s="215" t="str">
        <f ca="1">IF(ISERROR($V313),"",OFFSET('Smelter Look-up'!$C$4,$V313-4,0)&amp;"")</f>
        <v>Ogussa Osterreichische Gold- und Silber-Scheideanstalt GmbH</v>
      </c>
      <c r="S313" s="222" t="str">
        <f t="shared" ca="1" si="45"/>
        <v>AT</v>
      </c>
      <c r="T313" s="222" t="str">
        <f ca="1">IF(B313="","",IF(ISERROR(MATCH($J313,SorP!$B$1:$B$6230,0)),"",INDIRECT("'SorP'!$A$"&amp;MATCH($J313,SorP!$B$1:$B$6230,0))))</f>
        <v>AT-9</v>
      </c>
      <c r="U313" s="238"/>
      <c r="V313" s="270">
        <f>IF(C313="",NA(),MATCH($B313&amp;$C313,'Smelter Look-up'!$J:$J,0))</f>
        <v>191</v>
      </c>
      <c r="W313" s="271"/>
      <c r="X313" s="271">
        <f t="shared" si="46"/>
        <v>0</v>
      </c>
      <c r="Y313" s="271"/>
      <c r="Z313" s="271"/>
      <c r="AB313" s="273" t="str">
        <f t="shared" si="47"/>
        <v>GoldOgussa Osterreichische Gold- und Silber-Scheideanstalt GmbH</v>
      </c>
    </row>
    <row r="314" spans="1:28" s="272" customFormat="1" ht="76.5">
      <c r="A314" s="363" t="s">
        <v>1424</v>
      </c>
      <c r="B314" s="355" t="s">
        <v>1132</v>
      </c>
      <c r="C314" s="356" t="s">
        <v>2361</v>
      </c>
      <c r="D314" s="357"/>
      <c r="E314" s="355" t="s">
        <v>15781</v>
      </c>
      <c r="F314" s="355" t="s">
        <v>1424</v>
      </c>
      <c r="G314" s="355" t="s">
        <v>13459</v>
      </c>
      <c r="H314" s="358" t="s">
        <v>15782</v>
      </c>
      <c r="I314" s="359" t="s">
        <v>1762</v>
      </c>
      <c r="J314" s="359" t="s">
        <v>1550</v>
      </c>
      <c r="K314" s="360" t="s">
        <v>15843</v>
      </c>
      <c r="L314" s="360" t="s">
        <v>15844</v>
      </c>
      <c r="M314" s="360"/>
      <c r="N314" s="360"/>
      <c r="O314" s="360" t="s">
        <v>16751</v>
      </c>
      <c r="P314" s="361"/>
      <c r="Q314" s="362"/>
      <c r="R314" s="215" t="str">
        <f ca="1">IF(ISERROR($V314),"",OFFSET('Smelter Look-up'!$C$4,$V314-4,0)&amp;"")</f>
        <v>TANIOBIS Smelting GmbH &amp; Co. KG</v>
      </c>
      <c r="S314" s="222" t="str">
        <f t="shared" ca="1" si="45"/>
        <v>DE</v>
      </c>
      <c r="T314" s="222" t="str">
        <f ca="1">IF(B314="","",IF(ISERROR(MATCH($J314,SorP!$B$1:$B$6230,0)),"",INDIRECT("'SorP'!$A$"&amp;MATCH($J314,SorP!$B$1:$B$6230,0))))</f>
        <v>DE-BW</v>
      </c>
      <c r="U314" s="238"/>
      <c r="V314" s="270">
        <f>IF(C314="",NA(),MATCH($B314&amp;$C314,'Smelter Look-up'!$J:$J,0))</f>
        <v>330</v>
      </c>
      <c r="W314" s="271"/>
      <c r="X314" s="271">
        <f t="shared" si="46"/>
        <v>0</v>
      </c>
      <c r="Y314" s="271"/>
      <c r="Z314" s="271"/>
      <c r="AB314" s="273" t="str">
        <f t="shared" si="47"/>
        <v>TantalumH.C. Starck Smelting GmbH &amp; Co. KG</v>
      </c>
    </row>
    <row r="315" spans="1:28" s="272" customFormat="1" ht="51">
      <c r="A315" s="363" t="s">
        <v>15345</v>
      </c>
      <c r="B315" s="355" t="s">
        <v>1130</v>
      </c>
      <c r="C315" s="356" t="s">
        <v>15344</v>
      </c>
      <c r="D315" s="357"/>
      <c r="E315" s="355" t="s">
        <v>15631</v>
      </c>
      <c r="F315" s="355" t="s">
        <v>15345</v>
      </c>
      <c r="G315" s="355" t="s">
        <v>13459</v>
      </c>
      <c r="H315" s="358" t="s">
        <v>16752</v>
      </c>
      <c r="I315" s="359" t="s">
        <v>15427</v>
      </c>
      <c r="J315" s="359" t="s">
        <v>1754</v>
      </c>
      <c r="K315" s="360" t="s">
        <v>16753</v>
      </c>
      <c r="L315" s="360" t="s">
        <v>16754</v>
      </c>
      <c r="M315" s="360"/>
      <c r="N315" s="360"/>
      <c r="O315" s="360" t="s">
        <v>15712</v>
      </c>
      <c r="P315" s="361"/>
      <c r="Q315" s="362"/>
      <c r="R315" s="215" t="str">
        <f ca="1">IF(ISERROR($V315),"",OFFSET('Smelter Look-up'!$C$4,$V315-4,0)&amp;"")</f>
        <v>Metallix Refining Inc.</v>
      </c>
      <c r="S315" s="222" t="str">
        <f t="shared" ca="1" si="45"/>
        <v>US</v>
      </c>
      <c r="T315" s="222" t="str">
        <f ca="1">IF(B315="","",IF(ISERROR(MATCH($J315,SorP!$B$1:$B$6230,0)),"",INDIRECT("'SorP'!$A$"&amp;MATCH($J315,SorP!$B$1:$B$6230,0))))</f>
        <v>US-NC</v>
      </c>
      <c r="U315" s="238"/>
      <c r="V315" s="270">
        <f>IF(C315="",NA(),MATCH($B315&amp;$C315,'Smelter Look-up'!$J:$J,0))</f>
        <v>165</v>
      </c>
      <c r="W315" s="271"/>
      <c r="X315" s="271">
        <f t="shared" si="46"/>
        <v>0</v>
      </c>
      <c r="Y315" s="271"/>
      <c r="Z315" s="271"/>
      <c r="AB315" s="273" t="str">
        <f t="shared" si="47"/>
        <v>GoldMetallix Refining Inc.</v>
      </c>
    </row>
    <row r="316" spans="1:28" s="272" customFormat="1" ht="76.5">
      <c r="A316" s="363" t="s">
        <v>2289</v>
      </c>
      <c r="B316" s="355" t="s">
        <v>1132</v>
      </c>
      <c r="C316" s="356" t="s">
        <v>2288</v>
      </c>
      <c r="D316" s="357"/>
      <c r="E316" s="355" t="s">
        <v>15646</v>
      </c>
      <c r="F316" s="355" t="s">
        <v>2289</v>
      </c>
      <c r="G316" s="355" t="s">
        <v>13459</v>
      </c>
      <c r="H316" s="358" t="s">
        <v>16755</v>
      </c>
      <c r="I316" s="359" t="s">
        <v>1751</v>
      </c>
      <c r="J316" s="359" t="s">
        <v>13842</v>
      </c>
      <c r="K316" s="360" t="s">
        <v>16756</v>
      </c>
      <c r="L316" s="360" t="s">
        <v>16757</v>
      </c>
      <c r="M316" s="360"/>
      <c r="N316" s="360"/>
      <c r="O316" s="360" t="s">
        <v>16758</v>
      </c>
      <c r="P316" s="361"/>
      <c r="Q316" s="362"/>
      <c r="R316" s="215" t="str">
        <f ca="1">IF(ISERROR($V316),"",OFFSET('Smelter Look-up'!$C$4,$V316-4,0)&amp;"")</f>
        <v>Jiangxi Tuohong New Raw Material</v>
      </c>
      <c r="S316" s="222" t="str">
        <f t="shared" ca="1" si="45"/>
        <v>CN</v>
      </c>
      <c r="T316" s="222" t="str">
        <f ca="1">IF(B316="","",IF(ISERROR(MATCH($J316,SorP!$B$1:$B$6230,0)),"",INDIRECT("'SorP'!$A$"&amp;MATCH($J316,SorP!$B$1:$B$6230,0))))</f>
        <v>CN-JX</v>
      </c>
      <c r="U316" s="238"/>
      <c r="V316" s="270">
        <f>IF(C316="",NA(),MATCH($B316&amp;$C316,'Smelter Look-up'!$J:$J,0))</f>
        <v>334</v>
      </c>
      <c r="W316" s="271"/>
      <c r="X316" s="271">
        <f t="shared" si="46"/>
        <v>0</v>
      </c>
      <c r="Y316" s="271"/>
      <c r="Z316" s="271"/>
      <c r="AB316" s="273" t="str">
        <f t="shared" si="47"/>
        <v>TantalumJiangxi Tuohong New Raw Material</v>
      </c>
    </row>
    <row r="317" spans="1:28" s="272" customFormat="1" ht="76.5">
      <c r="A317" s="363" t="s">
        <v>15398</v>
      </c>
      <c r="B317" s="355" t="s">
        <v>1131</v>
      </c>
      <c r="C317" s="356" t="s">
        <v>15397</v>
      </c>
      <c r="D317" s="357"/>
      <c r="E317" s="355" t="s">
        <v>15669</v>
      </c>
      <c r="F317" s="355" t="s">
        <v>15398</v>
      </c>
      <c r="G317" s="355" t="s">
        <v>13459</v>
      </c>
      <c r="H317" s="358"/>
      <c r="I317" s="359" t="s">
        <v>15443</v>
      </c>
      <c r="J317" s="359" t="s">
        <v>13066</v>
      </c>
      <c r="K317" s="360" t="s">
        <v>16759</v>
      </c>
      <c r="L317" s="360" t="s">
        <v>16760</v>
      </c>
      <c r="M317" s="360"/>
      <c r="N317" s="360"/>
      <c r="O317" s="360"/>
      <c r="P317" s="361"/>
      <c r="Q317" s="362"/>
      <c r="R317" s="215" t="str">
        <f ca="1">IF(ISERROR($V317),"",OFFSET('Smelter Look-up'!$C$4,$V317-4,0)&amp;"")</f>
        <v>PT Lautan Harmonis Sejahtera</v>
      </c>
      <c r="S317" s="222" t="str">
        <f t="shared" ca="1" si="45"/>
        <v>ID</v>
      </c>
      <c r="T317" s="222" t="str">
        <f ca="1">IF(B317="","",IF(ISERROR(MATCH($J317,SorP!$B$1:$B$6230,0)),"",INDIRECT("'SorP'!$A$"&amp;MATCH($J317,SorP!$B$1:$B$6230,0))))</f>
        <v>ID-BB</v>
      </c>
      <c r="U317" s="238"/>
      <c r="V317" s="270">
        <f>IF(C317="",NA(),MATCH($B317&amp;$C317,'Smelter Look-up'!$J:$J,0))</f>
        <v>480</v>
      </c>
      <c r="W317" s="271"/>
      <c r="X317" s="271">
        <f t="shared" si="46"/>
        <v>0</v>
      </c>
      <c r="Y317" s="271"/>
      <c r="Z317" s="271"/>
      <c r="AB317" s="273" t="str">
        <f t="shared" si="47"/>
        <v>TinPT Lautan Harmonis Sejahtera</v>
      </c>
    </row>
    <row r="318" spans="1:28" s="272" customFormat="1" ht="38.25">
      <c r="A318" s="363" t="s">
        <v>2473</v>
      </c>
      <c r="B318" s="355" t="s">
        <v>1130</v>
      </c>
      <c r="C318" s="356" t="s">
        <v>2472</v>
      </c>
      <c r="D318" s="357"/>
      <c r="E318" s="355" t="s">
        <v>15631</v>
      </c>
      <c r="F318" s="355" t="s">
        <v>2473</v>
      </c>
      <c r="G318" s="355" t="s">
        <v>13459</v>
      </c>
      <c r="H318" s="358" t="s">
        <v>16761</v>
      </c>
      <c r="I318" s="359" t="s">
        <v>1545</v>
      </c>
      <c r="J318" s="359" t="s">
        <v>1546</v>
      </c>
      <c r="K318" s="360" t="s">
        <v>16762</v>
      </c>
      <c r="L318" s="360" t="s">
        <v>16763</v>
      </c>
      <c r="M318" s="360"/>
      <c r="N318" s="360"/>
      <c r="O318" s="360" t="s">
        <v>16633</v>
      </c>
      <c r="P318" s="361"/>
      <c r="Q318" s="362"/>
      <c r="R318" s="215" t="str">
        <f ca="1">IF(ISERROR($V318),"",OFFSET('Smelter Look-up'!$C$4,$V318-4,0)&amp;"")</f>
        <v>Pease &amp; Curren</v>
      </c>
      <c r="S318" s="222" t="str">
        <f t="shared" ca="1" si="45"/>
        <v>US</v>
      </c>
      <c r="T318" s="222" t="str">
        <f ca="1">IF(B318="","",IF(ISERROR(MATCH($J318,SorP!$B$1:$B$6230,0)),"",INDIRECT("'SorP'!$A$"&amp;MATCH($J318,SorP!$B$1:$B$6230,0))))</f>
        <v>US-RI</v>
      </c>
      <c r="U318" s="238"/>
      <c r="V318" s="270">
        <f>IF(C318="",NA(),MATCH($B318&amp;$C318,'Smelter Look-up'!$J:$J,0))</f>
        <v>199</v>
      </c>
      <c r="W318" s="271"/>
      <c r="X318" s="271">
        <f t="shared" si="46"/>
        <v>0</v>
      </c>
      <c r="Y318" s="271"/>
      <c r="Z318" s="271"/>
      <c r="AB318" s="273" t="str">
        <f t="shared" si="47"/>
        <v>GoldPease &amp; Curren</v>
      </c>
    </row>
    <row r="319" spans="1:28" s="272" customFormat="1" ht="87.75" customHeight="1">
      <c r="A319" s="363" t="s">
        <v>1414</v>
      </c>
      <c r="B319" s="355" t="s">
        <v>1132</v>
      </c>
      <c r="C319" s="356" t="s">
        <v>1413</v>
      </c>
      <c r="D319" s="357"/>
      <c r="E319" s="355" t="s">
        <v>15631</v>
      </c>
      <c r="F319" s="355" t="s">
        <v>1414</v>
      </c>
      <c r="G319" s="355" t="s">
        <v>13459</v>
      </c>
      <c r="H319" s="358" t="s">
        <v>16764</v>
      </c>
      <c r="I319" s="359" t="s">
        <v>1767</v>
      </c>
      <c r="J319" s="359" t="s">
        <v>1749</v>
      </c>
      <c r="K319" s="360" t="s">
        <v>16467</v>
      </c>
      <c r="L319" s="360" t="s">
        <v>16468</v>
      </c>
      <c r="M319" s="360"/>
      <c r="N319" s="360"/>
      <c r="O319" s="360" t="s">
        <v>16765</v>
      </c>
      <c r="P319" s="361"/>
      <c r="Q319" s="362"/>
      <c r="R319" s="215" t="str">
        <f ca="1">IF(ISERROR($V319),"",OFFSET('Smelter Look-up'!$C$4,$V319-4,0)&amp;"")</f>
        <v>Global Advanced Metals Boyertown</v>
      </c>
      <c r="S319" s="222" t="str">
        <f t="shared" ca="1" si="45"/>
        <v>US</v>
      </c>
      <c r="T319" s="222" t="str">
        <f ca="1">IF(B319="","",IF(ISERROR(MATCH($J319,SorP!$B$1:$B$6230,0)),"",INDIRECT("'SorP'!$A$"&amp;MATCH($J319,SorP!$B$1:$B$6230,0))))</f>
        <v>US-PA</v>
      </c>
      <c r="U319" s="238"/>
      <c r="V319" s="270">
        <f>IF(C319="",NA(),MATCH($B319&amp;$C319,'Smelter Look-up'!$J:$J,0))</f>
        <v>324</v>
      </c>
      <c r="W319" s="271"/>
      <c r="X319" s="271">
        <f t="shared" si="46"/>
        <v>0</v>
      </c>
      <c r="Y319" s="271"/>
      <c r="Z319" s="271"/>
      <c r="AB319" s="273" t="str">
        <f t="shared" si="47"/>
        <v>TantalumGlobal Advanced Metals Boyertown</v>
      </c>
    </row>
    <row r="320" spans="1:28" s="272" customFormat="1" ht="38.25">
      <c r="A320" s="363" t="s">
        <v>2551</v>
      </c>
      <c r="B320" s="355" t="s">
        <v>1130</v>
      </c>
      <c r="C320" s="356" t="s">
        <v>2550</v>
      </c>
      <c r="D320" s="357"/>
      <c r="E320" s="355" t="s">
        <v>16125</v>
      </c>
      <c r="F320" s="355" t="s">
        <v>2551</v>
      </c>
      <c r="G320" s="355" t="s">
        <v>13459</v>
      </c>
      <c r="H320" s="358" t="s">
        <v>16766</v>
      </c>
      <c r="I320" s="359" t="s">
        <v>1576</v>
      </c>
      <c r="J320" s="359" t="s">
        <v>6576</v>
      </c>
      <c r="K320" s="360" t="s">
        <v>16767</v>
      </c>
      <c r="L320" s="360" t="s">
        <v>16768</v>
      </c>
      <c r="M320" s="360"/>
      <c r="N320" s="360"/>
      <c r="O320" s="360" t="s">
        <v>16769</v>
      </c>
      <c r="P320" s="361"/>
      <c r="Q320" s="362"/>
      <c r="R320" s="215" t="str">
        <f ca="1">IF(ISERROR($V320),"",OFFSET('Smelter Look-up'!$C$4,$V320-4,0)&amp;"")</f>
        <v>Safimet S.p.A</v>
      </c>
      <c r="S320" s="222" t="str">
        <f t="shared" ca="1" si="45"/>
        <v>IT</v>
      </c>
      <c r="T320" s="222" t="str">
        <f ca="1">IF(B320="","",IF(ISERROR(MATCH($J320,SorP!$B$1:$B$6230,0)),"",INDIRECT("'SorP'!$A$"&amp;MATCH($J320,SorP!$B$1:$B$6230,0))))</f>
        <v>IT-52</v>
      </c>
      <c r="U320" s="238"/>
      <c r="V320" s="270">
        <f>IF(C320="",NA(),MATCH($B320&amp;$C320,'Smelter Look-up'!$J:$J,0))</f>
        <v>218</v>
      </c>
      <c r="W320" s="271"/>
      <c r="X320" s="271">
        <f t="shared" si="46"/>
        <v>0</v>
      </c>
      <c r="Y320" s="271"/>
      <c r="Z320" s="271"/>
      <c r="AB320" s="273" t="str">
        <f t="shared" si="47"/>
        <v>GoldSafimet S.p.A</v>
      </c>
    </row>
    <row r="321" spans="1:28" s="272" customFormat="1" ht="85.5" customHeight="1">
      <c r="A321" s="363" t="s">
        <v>2321</v>
      </c>
      <c r="B321" s="355" t="s">
        <v>1130</v>
      </c>
      <c r="C321" s="356" t="s">
        <v>2528</v>
      </c>
      <c r="D321" s="357"/>
      <c r="E321" s="355" t="s">
        <v>15958</v>
      </c>
      <c r="F321" s="355" t="s">
        <v>2321</v>
      </c>
      <c r="G321" s="355" t="s">
        <v>13459</v>
      </c>
      <c r="H321" s="358" t="s">
        <v>16770</v>
      </c>
      <c r="I321" s="359" t="s">
        <v>2322</v>
      </c>
      <c r="J321" s="359" t="s">
        <v>2323</v>
      </c>
      <c r="K321" s="360" t="s">
        <v>16771</v>
      </c>
      <c r="L321" s="360" t="s">
        <v>16772</v>
      </c>
      <c r="M321" s="360"/>
      <c r="N321" s="360"/>
      <c r="O321" s="360" t="s">
        <v>16773</v>
      </c>
      <c r="P321" s="361"/>
      <c r="Q321" s="362"/>
      <c r="R321" s="215" t="str">
        <f ca="1">IF(ISERROR($V321),"",OFFSET('Smelter Look-up'!$C$4,$V321-4,0)&amp;"")</f>
        <v>GCC Gujrat Gold Centre Pvt. Ltd.</v>
      </c>
      <c r="S321" s="222" t="str">
        <f t="shared" ca="1" si="45"/>
        <v>IN</v>
      </c>
      <c r="T321" s="222" t="str">
        <f ca="1">IF(B321="","",IF(ISERROR(MATCH($J321,SorP!$B$1:$B$6230,0)),"",INDIRECT("'SorP'!$A$"&amp;MATCH($J321,SorP!$B$1:$B$6230,0))))</f>
        <v>IN-GJ</v>
      </c>
      <c r="U321" s="238"/>
      <c r="V321" s="270">
        <f>IF(C321="",NA(),MATCH($B321&amp;$C321,'Smelter Look-up'!$J:$J,0))</f>
        <v>84</v>
      </c>
      <c r="W321" s="271"/>
      <c r="X321" s="271">
        <f t="shared" si="46"/>
        <v>0</v>
      </c>
      <c r="Y321" s="271"/>
      <c r="Z321" s="271"/>
      <c r="AB321" s="273" t="str">
        <f t="shared" si="47"/>
        <v>GoldGCC Gujrat Gold Centre Pvt. Ltd.</v>
      </c>
    </row>
    <row r="322" spans="1:28" s="272" customFormat="1" ht="25.5">
      <c r="A322" s="363" t="s">
        <v>2347</v>
      </c>
      <c r="B322" s="355" t="s">
        <v>1130</v>
      </c>
      <c r="C322" s="356" t="s">
        <v>2346</v>
      </c>
      <c r="D322" s="357"/>
      <c r="E322" s="355" t="s">
        <v>15958</v>
      </c>
      <c r="F322" s="355" t="s">
        <v>2347</v>
      </c>
      <c r="G322" s="355" t="s">
        <v>13459</v>
      </c>
      <c r="H322" s="358" t="s">
        <v>16774</v>
      </c>
      <c r="I322" s="359" t="s">
        <v>2348</v>
      </c>
      <c r="J322" s="359" t="s">
        <v>2349</v>
      </c>
      <c r="K322" s="360" t="s">
        <v>16775</v>
      </c>
      <c r="L322" s="360" t="s">
        <v>16776</v>
      </c>
      <c r="M322" s="360"/>
      <c r="N322" s="360"/>
      <c r="O322" s="360" t="s">
        <v>16777</v>
      </c>
      <c r="P322" s="361"/>
      <c r="Q322" s="362"/>
      <c r="R322" s="215" t="str">
        <f ca="1">IF(ISERROR($V322),"",OFFSET('Smelter Look-up'!$C$4,$V322-4,0)&amp;"")</f>
        <v>Sai Refinery</v>
      </c>
      <c r="S322" s="222" t="str">
        <f t="shared" ca="1" si="45"/>
        <v>IN</v>
      </c>
      <c r="T322" s="222" t="str">
        <f ca="1">IF(B322="","",IF(ISERROR(MATCH($J322,SorP!$B$1:$B$6230,0)),"",INDIRECT("'SorP'!$A$"&amp;MATCH($J322,SorP!$B$1:$B$6230,0))))</f>
        <v>IN-HP</v>
      </c>
      <c r="U322" s="238"/>
      <c r="V322" s="270">
        <f>IF(C322="",NA(),MATCH($B322&amp;$C322,'Smelter Look-up'!$J:$J,0))</f>
        <v>221</v>
      </c>
      <c r="W322" s="271"/>
      <c r="X322" s="271">
        <f t="shared" si="46"/>
        <v>0</v>
      </c>
      <c r="Y322" s="271"/>
      <c r="Z322" s="271"/>
      <c r="AB322" s="273" t="str">
        <f t="shared" si="47"/>
        <v>GoldSai Refinery</v>
      </c>
    </row>
    <row r="323" spans="1:28" s="272" customFormat="1" ht="89.25">
      <c r="A323" s="363" t="s">
        <v>2539</v>
      </c>
      <c r="B323" s="355" t="s">
        <v>1130</v>
      </c>
      <c r="C323" s="356" t="s">
        <v>2538</v>
      </c>
      <c r="D323" s="357"/>
      <c r="E323" s="355" t="s">
        <v>15697</v>
      </c>
      <c r="F323" s="355" t="s">
        <v>2539</v>
      </c>
      <c r="G323" s="355" t="s">
        <v>13459</v>
      </c>
      <c r="H323" s="358" t="s">
        <v>16778</v>
      </c>
      <c r="I323" s="359" t="s">
        <v>12620</v>
      </c>
      <c r="J323" s="359" t="s">
        <v>10160</v>
      </c>
      <c r="K323" s="360" t="s">
        <v>16779</v>
      </c>
      <c r="L323" s="360" t="s">
        <v>16780</v>
      </c>
      <c r="M323" s="360"/>
      <c r="N323" s="360"/>
      <c r="O323" s="360" t="s">
        <v>16781</v>
      </c>
      <c r="P323" s="361"/>
      <c r="Q323" s="362"/>
      <c r="R323" s="215" t="str">
        <f ca="1">IF(ISERROR($V323),"",OFFSET('Smelter Look-up'!$C$4,$V323-4,0)&amp;"")</f>
        <v>Kyshtym Copper-Electrolytic Plant ZAO</v>
      </c>
      <c r="S323" s="222" t="str">
        <f t="shared" ca="1" si="45"/>
        <v>RU</v>
      </c>
      <c r="T323" s="222" t="str">
        <f ca="1">IF(B323="","",IF(ISERROR(MATCH($J323,SorP!$B$1:$B$6230,0)),"",INDIRECT("'SorP'!$A$"&amp;MATCH($J323,SorP!$B$1:$B$6230,0))))</f>
        <v>RU-CHE</v>
      </c>
      <c r="U323" s="238"/>
      <c r="V323" s="270">
        <f>IF(C323="",NA(),MATCH($B323&amp;$C323,'Smelter Look-up'!$J:$J,0))</f>
        <v>145</v>
      </c>
      <c r="W323" s="271"/>
      <c r="X323" s="271">
        <f t="shared" si="46"/>
        <v>0</v>
      </c>
      <c r="Y323" s="271"/>
      <c r="Z323" s="271"/>
      <c r="AB323" s="273" t="str">
        <f t="shared" si="47"/>
        <v>GoldKyshtym Copper-Electrolytic Plant ZAO</v>
      </c>
    </row>
    <row r="324" spans="1:28" s="272" customFormat="1" ht="38.25">
      <c r="A324" s="363" t="s">
        <v>2337</v>
      </c>
      <c r="B324" s="355" t="s">
        <v>1130</v>
      </c>
      <c r="C324" s="356" t="s">
        <v>2336</v>
      </c>
      <c r="D324" s="357"/>
      <c r="E324" s="355" t="s">
        <v>16296</v>
      </c>
      <c r="F324" s="355" t="s">
        <v>2337</v>
      </c>
      <c r="G324" s="355" t="s">
        <v>13459</v>
      </c>
      <c r="H324" s="358" t="s">
        <v>16782</v>
      </c>
      <c r="I324" s="359" t="s">
        <v>2376</v>
      </c>
      <c r="J324" s="359" t="s">
        <v>2377</v>
      </c>
      <c r="K324" s="360" t="s">
        <v>16783</v>
      </c>
      <c r="L324" s="360" t="s">
        <v>16784</v>
      </c>
      <c r="M324" s="360"/>
      <c r="N324" s="360"/>
      <c r="O324" s="360" t="s">
        <v>16785</v>
      </c>
      <c r="P324" s="361"/>
      <c r="Q324" s="362"/>
      <c r="R324" s="215" t="str">
        <f ca="1">IF(ISERROR($V324),"",OFFSET('Smelter Look-up'!$C$4,$V324-4,0)&amp;"")</f>
        <v>Modeltech Sdn Bhd</v>
      </c>
      <c r="S324" s="222" t="str">
        <f t="shared" ca="1" si="45"/>
        <v>MY</v>
      </c>
      <c r="T324" s="222" t="str">
        <f ca="1">IF(B324="","",IF(ISERROR(MATCH($J324,SorP!$B$1:$B$6230,0)),"",INDIRECT("'SorP'!$A$"&amp;MATCH($J324,SorP!$B$1:$B$6230,0))))</f>
        <v>MY-04</v>
      </c>
      <c r="U324" s="238"/>
      <c r="V324" s="270">
        <f>IF(C324="",NA(),MATCH($B324&amp;$C324,'Smelter Look-up'!$J:$J,0))</f>
        <v>181</v>
      </c>
      <c r="W324" s="271"/>
      <c r="X324" s="271">
        <f t="shared" si="46"/>
        <v>0</v>
      </c>
      <c r="Y324" s="271"/>
      <c r="Z324" s="271"/>
      <c r="AB324" s="273" t="str">
        <f t="shared" si="47"/>
        <v>GoldModeltech Sdn Bhd</v>
      </c>
    </row>
    <row r="325" spans="1:28" s="272" customFormat="1" ht="38.25">
      <c r="A325" s="363" t="s">
        <v>2372</v>
      </c>
      <c r="B325" s="355" t="s">
        <v>1131</v>
      </c>
      <c r="C325" s="356" t="s">
        <v>2336</v>
      </c>
      <c r="D325" s="357"/>
      <c r="E325" s="355" t="s">
        <v>16296</v>
      </c>
      <c r="F325" s="355" t="s">
        <v>2372</v>
      </c>
      <c r="G325" s="355" t="s">
        <v>13459</v>
      </c>
      <c r="H325" s="358" t="s">
        <v>16782</v>
      </c>
      <c r="I325" s="359" t="s">
        <v>2376</v>
      </c>
      <c r="J325" s="359" t="s">
        <v>2377</v>
      </c>
      <c r="K325" s="360" t="s">
        <v>16783</v>
      </c>
      <c r="L325" s="360" t="s">
        <v>16784</v>
      </c>
      <c r="M325" s="360"/>
      <c r="N325" s="360"/>
      <c r="O325" s="360" t="s">
        <v>15713</v>
      </c>
      <c r="P325" s="361"/>
      <c r="Q325" s="362"/>
      <c r="R325" s="215" t="str">
        <f ca="1">IF(ISERROR($V325),"",OFFSET('Smelter Look-up'!$C$4,$V325-4,0)&amp;"")</f>
        <v>Modeltech Sdn Bhd</v>
      </c>
      <c r="S325" s="222" t="str">
        <f t="shared" ca="1" si="45"/>
        <v>MY</v>
      </c>
      <c r="T325" s="222" t="str">
        <f ca="1">IF(B325="","",IF(ISERROR(MATCH($J325,SorP!$B$1:$B$6230,0)),"",INDIRECT("'SorP'!$A$"&amp;MATCH($J325,SorP!$B$1:$B$6230,0))))</f>
        <v>MY-04</v>
      </c>
      <c r="U325" s="238"/>
      <c r="V325" s="270">
        <f>IF(C325="",NA(),MATCH($B325&amp;$C325,'Smelter Look-up'!$J:$J,0))</f>
        <v>462</v>
      </c>
      <c r="W325" s="271"/>
      <c r="X325" s="271">
        <f t="shared" si="46"/>
        <v>0</v>
      </c>
      <c r="Y325" s="271"/>
      <c r="Z325" s="271"/>
      <c r="AB325" s="273" t="str">
        <f t="shared" si="47"/>
        <v>TinModeltech Sdn Bhd</v>
      </c>
    </row>
    <row r="326" spans="1:28" s="272" customFormat="1" ht="91.5" customHeight="1">
      <c r="A326" s="363" t="s">
        <v>13398</v>
      </c>
      <c r="B326" s="355" t="s">
        <v>1130</v>
      </c>
      <c r="C326" s="356" t="s">
        <v>13397</v>
      </c>
      <c r="D326" s="357"/>
      <c r="E326" s="355" t="s">
        <v>15631</v>
      </c>
      <c r="F326" s="355" t="s">
        <v>13398</v>
      </c>
      <c r="G326" s="355" t="s">
        <v>13459</v>
      </c>
      <c r="H326" s="358" t="s">
        <v>16786</v>
      </c>
      <c r="I326" s="359" t="s">
        <v>13458</v>
      </c>
      <c r="J326" s="359" t="s">
        <v>1642</v>
      </c>
      <c r="K326" s="360" t="s">
        <v>16787</v>
      </c>
      <c r="L326" s="360" t="s">
        <v>16788</v>
      </c>
      <c r="M326" s="360"/>
      <c r="N326" s="360"/>
      <c r="O326" s="360" t="s">
        <v>16789</v>
      </c>
      <c r="P326" s="361"/>
      <c r="Q326" s="362"/>
      <c r="R326" s="215" t="str">
        <f ca="1">IF(ISERROR($V326),"",OFFSET('Smelter Look-up'!$C$4,$V326-4,0)&amp;"")</f>
        <v>QG Refining, LLC</v>
      </c>
      <c r="S326" s="222" t="str">
        <f t="shared" ca="1" si="45"/>
        <v>US</v>
      </c>
      <c r="T326" s="222" t="str">
        <f ca="1">IF(B326="","",IF(ISERROR(MATCH($J326,SorP!$B$1:$B$6230,0)),"",INDIRECT("'SorP'!$A$"&amp;MATCH($J326,SorP!$B$1:$B$6230,0))))</f>
        <v>US-OH</v>
      </c>
      <c r="U326" s="238"/>
      <c r="V326" s="270">
        <f>IF(C326="",NA(),MATCH($B326&amp;$C326,'Smelter Look-up'!$J:$J,0))</f>
        <v>209</v>
      </c>
      <c r="W326" s="271"/>
      <c r="X326" s="271">
        <f t="shared" si="46"/>
        <v>0</v>
      </c>
      <c r="Y326" s="271"/>
      <c r="Z326" s="271"/>
      <c r="AB326" s="273" t="str">
        <f t="shared" si="47"/>
        <v>GoldQG Refining, LLC</v>
      </c>
    </row>
    <row r="327" spans="1:28" s="272" customFormat="1" ht="51">
      <c r="A327" s="363" t="s">
        <v>13403</v>
      </c>
      <c r="B327" s="355" t="s">
        <v>1131</v>
      </c>
      <c r="C327" s="356" t="s">
        <v>13402</v>
      </c>
      <c r="D327" s="357"/>
      <c r="E327" s="355" t="s">
        <v>15631</v>
      </c>
      <c r="F327" s="355" t="s">
        <v>13403</v>
      </c>
      <c r="G327" s="355" t="s">
        <v>13459</v>
      </c>
      <c r="H327" s="358" t="s">
        <v>16790</v>
      </c>
      <c r="I327" s="359" t="s">
        <v>13404</v>
      </c>
      <c r="J327" s="359" t="s">
        <v>1749</v>
      </c>
      <c r="K327" s="360" t="s">
        <v>16791</v>
      </c>
      <c r="L327" s="360" t="s">
        <v>16792</v>
      </c>
      <c r="M327" s="360"/>
      <c r="N327" s="360"/>
      <c r="O327" s="360" t="s">
        <v>16793</v>
      </c>
      <c r="P327" s="361"/>
      <c r="Q327" s="362"/>
      <c r="R327" s="215" t="str">
        <f ca="1">IF(ISERROR($V327),"",OFFSET('Smelter Look-up'!$C$4,$V327-4,0)&amp;"")</f>
        <v>Tin Technology &amp; Refining</v>
      </c>
      <c r="S327" s="222" t="str">
        <f t="shared" ca="1" si="45"/>
        <v>US</v>
      </c>
      <c r="T327" s="222" t="str">
        <f ca="1">IF(B327="","",IF(ISERROR(MATCH($J327,SorP!$B$1:$B$6230,0)),"",INDIRECT("'SorP'!$A$"&amp;MATCH($J327,SorP!$B$1:$B$6230,0))))</f>
        <v>US-PA</v>
      </c>
      <c r="U327" s="238"/>
      <c r="V327" s="270">
        <f>IF(C327="",NA(),MATCH($B327&amp;$C327,'Smelter Look-up'!$J:$J,0))</f>
        <v>507</v>
      </c>
      <c r="W327" s="271"/>
      <c r="X327" s="271">
        <f t="shared" si="46"/>
        <v>0</v>
      </c>
      <c r="Y327" s="271"/>
      <c r="Z327" s="271"/>
      <c r="AB327" s="273" t="str">
        <f t="shared" si="47"/>
        <v>TinTin Technology &amp; Refining</v>
      </c>
    </row>
    <row r="328" spans="1:28" s="272" customFormat="1" ht="63.75">
      <c r="A328" s="363" t="s">
        <v>14109</v>
      </c>
      <c r="B328" s="355" t="s">
        <v>1131</v>
      </c>
      <c r="C328" s="356" t="s">
        <v>14094</v>
      </c>
      <c r="D328" s="357"/>
      <c r="E328" s="355" t="s">
        <v>15669</v>
      </c>
      <c r="F328" s="355" t="s">
        <v>14109</v>
      </c>
      <c r="G328" s="355" t="s">
        <v>13459</v>
      </c>
      <c r="H328" s="358" t="s">
        <v>16794</v>
      </c>
      <c r="I328" s="359" t="s">
        <v>15442</v>
      </c>
      <c r="J328" s="359" t="s">
        <v>13066</v>
      </c>
      <c r="K328" s="360"/>
      <c r="L328" s="360"/>
      <c r="M328" s="360"/>
      <c r="N328" s="360"/>
      <c r="O328" s="360" t="s">
        <v>15712</v>
      </c>
      <c r="P328" s="361"/>
      <c r="Q328" s="362"/>
      <c r="R328" s="215" t="str">
        <f ca="1">IF(ISERROR($V328),"",OFFSET('Smelter Look-up'!$C$4,$V328-4,0)&amp;"")</f>
        <v>PT Mitra Sukses Globalindo</v>
      </c>
      <c r="S328" s="222" t="str">
        <f t="shared" ca="1" si="45"/>
        <v>ID</v>
      </c>
      <c r="T328" s="222" t="str">
        <f ca="1">IF(B328="","",IF(ISERROR(MATCH($J328,SorP!$B$1:$B$6230,0)),"",INDIRECT("'SorP'!$A$"&amp;MATCH($J328,SorP!$B$1:$B$6230,0))))</f>
        <v>ID-BB</v>
      </c>
      <c r="U328" s="238"/>
      <c r="V328" s="270">
        <f>IF(C328="",NA(),MATCH($B328&amp;$C328,'Smelter Look-up'!$J:$J,0))</f>
        <v>483</v>
      </c>
      <c r="W328" s="271"/>
      <c r="X328" s="271">
        <f t="shared" si="46"/>
        <v>0</v>
      </c>
      <c r="Y328" s="271"/>
      <c r="Z328" s="271"/>
      <c r="AB328" s="273" t="str">
        <f t="shared" si="47"/>
        <v>TinPT Mitra Sukses Globalindo</v>
      </c>
    </row>
    <row r="329" spans="1:28" s="272" customFormat="1" ht="51">
      <c r="A329" s="363" t="s">
        <v>14112</v>
      </c>
      <c r="B329" s="355" t="s">
        <v>1133</v>
      </c>
      <c r="C329" s="356" t="s">
        <v>14097</v>
      </c>
      <c r="D329" s="357"/>
      <c r="E329" s="355" t="s">
        <v>15626</v>
      </c>
      <c r="F329" s="355" t="s">
        <v>14112</v>
      </c>
      <c r="G329" s="355" t="s">
        <v>13459</v>
      </c>
      <c r="H329" s="358" t="s">
        <v>16795</v>
      </c>
      <c r="I329" s="359" t="s">
        <v>14122</v>
      </c>
      <c r="J329" s="359" t="s">
        <v>3498</v>
      </c>
      <c r="K329" s="360" t="s">
        <v>16796</v>
      </c>
      <c r="L329" s="360" t="s">
        <v>16797</v>
      </c>
      <c r="M329" s="360"/>
      <c r="N329" s="360"/>
      <c r="O329" s="360" t="s">
        <v>15712</v>
      </c>
      <c r="P329" s="361"/>
      <c r="Q329" s="362"/>
      <c r="R329" s="215" t="str">
        <f ca="1">IF(ISERROR($V329),"",OFFSET('Smelter Look-up'!$C$4,$V329-4,0)&amp;"")</f>
        <v>Cronimet Brasil Ltda</v>
      </c>
      <c r="S329" s="222" t="str">
        <f t="shared" ca="1" si="45"/>
        <v>BR</v>
      </c>
      <c r="T329" s="222" t="str">
        <f ca="1">IF(B329="","",IF(ISERROR(MATCH($J329,SorP!$B$1:$B$6230,0)),"",INDIRECT("'SorP'!$A$"&amp;MATCH($J329,SorP!$B$1:$B$6230,0))))</f>
        <v>BR-SC</v>
      </c>
      <c r="U329" s="238"/>
      <c r="V329" s="270">
        <f>IF(C329="",NA(),MATCH($B329&amp;$C329,'Smelter Look-up'!$J:$J,0))</f>
        <v>552</v>
      </c>
      <c r="W329" s="271"/>
      <c r="X329" s="271">
        <f t="shared" si="46"/>
        <v>0</v>
      </c>
      <c r="Y329" s="271"/>
      <c r="Z329" s="271"/>
      <c r="AB329" s="273" t="str">
        <f t="shared" si="47"/>
        <v>TungstenCronimet Brasil Ltda</v>
      </c>
    </row>
    <row r="330" spans="1:28" s="272" customFormat="1" ht="84.75" customHeight="1">
      <c r="A330" s="363" t="s">
        <v>15370</v>
      </c>
      <c r="B330" s="355" t="s">
        <v>1131</v>
      </c>
      <c r="C330" s="356" t="s">
        <v>15369</v>
      </c>
      <c r="D330" s="357"/>
      <c r="E330" s="355" t="s">
        <v>15626</v>
      </c>
      <c r="F330" s="355" t="s">
        <v>15370</v>
      </c>
      <c r="G330" s="355" t="s">
        <v>13459</v>
      </c>
      <c r="H330" s="358" t="s">
        <v>16798</v>
      </c>
      <c r="I330" s="359" t="s">
        <v>15436</v>
      </c>
      <c r="J330" s="359" t="s">
        <v>3498</v>
      </c>
      <c r="K330" s="360" t="s">
        <v>16799</v>
      </c>
      <c r="L330" s="360" t="s">
        <v>16800</v>
      </c>
      <c r="M330" s="360"/>
      <c r="N330" s="360"/>
      <c r="O330" s="360" t="s">
        <v>15712</v>
      </c>
      <c r="P330" s="361"/>
      <c r="Q330" s="362"/>
      <c r="R330" s="215" t="str">
        <f ca="1">IF(ISERROR($V330),"",OFFSET('Smelter Look-up'!$C$4,$V330-4,0)&amp;"")</f>
        <v>CRM Fundicao De Metais E Comercio De Equipamentos Eletronicos Do Brasil Ltda</v>
      </c>
      <c r="S330" s="222" t="str">
        <f t="shared" ca="1" si="45"/>
        <v>BR</v>
      </c>
      <c r="T330" s="222" t="str">
        <f ca="1">IF(B330="","",IF(ISERROR(MATCH($J330,SorP!$B$1:$B$6230,0)),"",INDIRECT("'SorP'!$A$"&amp;MATCH($J330,SorP!$B$1:$B$6230,0))))</f>
        <v>BR-SC</v>
      </c>
      <c r="U330" s="238"/>
      <c r="V330" s="270">
        <f>IF(C330="",NA(),MATCH($B330&amp;$C330,'Smelter Look-up'!$J:$J,0))</f>
        <v>401</v>
      </c>
      <c r="W330" s="271"/>
      <c r="X330" s="271">
        <f t="shared" si="46"/>
        <v>0</v>
      </c>
      <c r="Y330" s="271"/>
      <c r="Z330" s="271"/>
      <c r="AB330" s="273" t="str">
        <f t="shared" si="47"/>
        <v>TinCRM Fundicao De Metais E Comercio De Equipamentos Eletronicos Do Brasil Ltda</v>
      </c>
    </row>
    <row r="331" spans="1:28" s="272" customFormat="1" ht="51">
      <c r="A331" s="363" t="s">
        <v>15347</v>
      </c>
      <c r="B331" s="355" t="s">
        <v>1130</v>
      </c>
      <c r="C331" s="356" t="s">
        <v>15346</v>
      </c>
      <c r="D331" s="357"/>
      <c r="E331" s="355" t="s">
        <v>16276</v>
      </c>
      <c r="F331" s="355" t="s">
        <v>15347</v>
      </c>
      <c r="G331" s="355" t="s">
        <v>13459</v>
      </c>
      <c r="H331" s="358" t="s">
        <v>16801</v>
      </c>
      <c r="I331" s="359" t="s">
        <v>15428</v>
      </c>
      <c r="J331" s="359" t="s">
        <v>3996</v>
      </c>
      <c r="K331" s="360" t="s">
        <v>16802</v>
      </c>
      <c r="L331" s="360" t="s">
        <v>16803</v>
      </c>
      <c r="M331" s="360"/>
      <c r="N331" s="360"/>
      <c r="O331" s="360" t="s">
        <v>15712</v>
      </c>
      <c r="P331" s="361"/>
      <c r="Q331" s="362"/>
      <c r="R331" s="215" t="str">
        <f ca="1">IF(ISERROR($V331),"",OFFSET('Smelter Look-up'!$C$4,$V331-4,0)&amp;"")</f>
        <v>Sancus ZFS (L’Orfebre, SA)</v>
      </c>
      <c r="S331" s="222" t="str">
        <f t="shared" ca="1" si="45"/>
        <v>CO</v>
      </c>
      <c r="T331" s="222" t="str">
        <f ca="1">IF(B331="","",IF(ISERROR(MATCH($J331,SorP!$B$1:$B$6230,0)),"",INDIRECT("'SorP'!$A$"&amp;MATCH($J331,SorP!$B$1:$B$6230,0))))</f>
        <v>CO-ATL</v>
      </c>
      <c r="U331" s="238"/>
      <c r="V331" s="270">
        <f>IF(C331="",NA(),MATCH($B331&amp;$C331,'Smelter Look-up'!$J:$J,0))</f>
        <v>225</v>
      </c>
      <c r="W331" s="271"/>
      <c r="X331" s="271">
        <f t="shared" si="46"/>
        <v>0</v>
      </c>
      <c r="Y331" s="271"/>
      <c r="Z331" s="271"/>
      <c r="AB331" s="273" t="str">
        <f t="shared" si="47"/>
        <v>GoldSancus ZFS (L’Orfebre, SA)</v>
      </c>
    </row>
    <row r="332" spans="1:28" s="272" customFormat="1" ht="89.25">
      <c r="A332" s="363" t="s">
        <v>15343</v>
      </c>
      <c r="B332" s="355" t="s">
        <v>1130</v>
      </c>
      <c r="C332" s="356" t="s">
        <v>15342</v>
      </c>
      <c r="D332" s="357"/>
      <c r="E332" s="355" t="s">
        <v>16098</v>
      </c>
      <c r="F332" s="355" t="s">
        <v>15343</v>
      </c>
      <c r="G332" s="355" t="s">
        <v>13459</v>
      </c>
      <c r="H332" s="358" t="s">
        <v>16804</v>
      </c>
      <c r="I332" s="359" t="s">
        <v>15426</v>
      </c>
      <c r="J332" s="359" t="s">
        <v>1652</v>
      </c>
      <c r="K332" s="360" t="s">
        <v>16805</v>
      </c>
      <c r="L332" s="360" t="s">
        <v>16806</v>
      </c>
      <c r="M332" s="360"/>
      <c r="N332" s="360"/>
      <c r="O332" s="360" t="s">
        <v>15712</v>
      </c>
      <c r="P332" s="361"/>
      <c r="Q332" s="362"/>
      <c r="R332" s="215" t="str">
        <f ca="1">IF(ISERROR($V332),"",OFFSET('Smelter Look-up'!$C$4,$V332-4,0)&amp;"")</f>
        <v>Metal Concentrators SA (Pty) Ltd.</v>
      </c>
      <c r="S332" s="222" t="str">
        <f t="shared" ca="1" si="45"/>
        <v>ZA</v>
      </c>
      <c r="T332" s="222" t="str">
        <f ca="1">IF(B332="","",IF(ISERROR(MATCH($J332,SorP!$B$1:$B$6230,0)),"",INDIRECT("'SorP'!$A$"&amp;MATCH($J332,SorP!$B$1:$B$6230,0))))</f>
        <v>ZA-GT</v>
      </c>
      <c r="U332" s="238"/>
      <c r="V332" s="270">
        <f>IF(C332="",NA(),MATCH($B332&amp;$C332,'Smelter Look-up'!$J:$J,0))</f>
        <v>163</v>
      </c>
      <c r="W332" s="271"/>
      <c r="X332" s="271">
        <f t="shared" si="46"/>
        <v>0</v>
      </c>
      <c r="Y332" s="271"/>
      <c r="Z332" s="271"/>
      <c r="AB332" s="273" t="str">
        <f t="shared" si="47"/>
        <v>GoldMetal Concentrators SA (Pty) Ltd.</v>
      </c>
    </row>
    <row r="333" spans="1:28" s="272" customFormat="1" ht="76.5">
      <c r="A333" s="366" t="s">
        <v>16807</v>
      </c>
      <c r="B333" s="366" t="s">
        <v>1131</v>
      </c>
      <c r="C333" s="366" t="s">
        <v>16808</v>
      </c>
      <c r="D333" s="364"/>
      <c r="E333" s="366" t="s">
        <v>1100</v>
      </c>
      <c r="F333" s="366" t="s">
        <v>16807</v>
      </c>
      <c r="G333" s="364" t="str">
        <f ca="1">IF(C333=$X$4,"Enter smelter details",IF(ISERROR($V333),"",OFFSET('[1]Smelter Look-up'!$F$4,$V333-4,0)))</f>
        <v/>
      </c>
      <c r="H333" s="365" t="str">
        <f ca="1">IF(ISERROR($V333),"",OFFSET('[1]Smelter Look-up'!$G$4,$V333-4,0))</f>
        <v/>
      </c>
      <c r="I333" s="366" t="s">
        <v>1787</v>
      </c>
      <c r="J333" s="366" t="s">
        <v>13842</v>
      </c>
      <c r="K333" s="268"/>
      <c r="L333" s="268"/>
      <c r="M333" s="268"/>
      <c r="N333" s="268"/>
      <c r="O333" s="268"/>
      <c r="P333" s="218"/>
      <c r="Q333" s="269"/>
      <c r="R333" s="215" t="str">
        <f ca="1">IF(ISERROR($V333),"",OFFSET('Smelter Look-up'!$C$4,$V333-4,0)&amp;"")</f>
        <v/>
      </c>
      <c r="S333" s="222" t="str">
        <f t="shared" ref="S333" ca="1" si="48">IF(B333="","",IF(ISERROR(MATCH($E333,CL,0)),"Unknown",INDIRECT("'C'!$A$"&amp;MATCH($E333,CL,0)+1)))</f>
        <v>CN</v>
      </c>
      <c r="T333" s="222" t="str">
        <f ca="1">IF(B333="","",IF(ISERROR(MATCH($J333,SorP!$B$1:$B$6230,0)),"",INDIRECT("'SorP'!$A$"&amp;MATCH($J333,SorP!$B$1:$B$6230,0))))</f>
        <v>CN-JX</v>
      </c>
      <c r="U333" s="238"/>
      <c r="V333" s="270" t="e">
        <f>IF(C333="",NA(),MATCH($B333&amp;$C333,'Smelter Look-up'!$J:$J,0))</f>
        <v>#N/A</v>
      </c>
      <c r="W333" s="271"/>
      <c r="X333" s="271">
        <f t="shared" ref="X333" si="49">IF(AND(C333="Smelter not listed",OR(LEN(D333)=0,LEN(E333)=0)),1,0)</f>
        <v>0</v>
      </c>
      <c r="Y333" s="271"/>
      <c r="Z333" s="271"/>
      <c r="AB333" s="273" t="str">
        <f t="shared" ref="AB333" si="50">B333&amp;C333</f>
        <v>TinHuichang Jinshunda Tin Co., Ltd.</v>
      </c>
    </row>
    <row r="334" spans="1:28" s="272" customFormat="1" ht="38.25">
      <c r="A334" s="353" t="s">
        <v>15355</v>
      </c>
      <c r="B334" s="215" t="s">
        <v>1130</v>
      </c>
      <c r="C334" s="219" t="s">
        <v>15354</v>
      </c>
      <c r="D334" s="278" t="s">
        <v>15354</v>
      </c>
      <c r="E334" s="215" t="s">
        <v>1095</v>
      </c>
      <c r="F334" s="215" t="s">
        <v>15355</v>
      </c>
      <c r="G334" s="215" t="s">
        <v>13459</v>
      </c>
      <c r="H334" s="216">
        <v>0</v>
      </c>
      <c r="I334" s="217" t="s">
        <v>1685</v>
      </c>
      <c r="J334" s="217" t="s">
        <v>3190</v>
      </c>
      <c r="K334" s="268"/>
      <c r="L334" s="268"/>
      <c r="M334" s="268"/>
      <c r="N334" s="268"/>
      <c r="O334" s="268"/>
      <c r="P334" s="218"/>
      <c r="Q334" s="269"/>
      <c r="R334" s="215" t="str">
        <f ca="1">IF(ISERROR($V334),"",OFFSET('Smelter Look-up'!$C$4,$V334-4,0)&amp;"")</f>
        <v>Value Trading</v>
      </c>
      <c r="S334" s="222" t="str">
        <f t="shared" ref="S334:S335" ca="1" si="51">IF(B334="","",IF(ISERROR(MATCH($E334,CL,0)),"Unknown",INDIRECT("'C'!$A$"&amp;MATCH($E334,CL,0)+1)))</f>
        <v>BE</v>
      </c>
      <c r="T334" s="222" t="str">
        <f ca="1">IF(B334="","",IF(ISERROR(MATCH($J334,SorP!$B$1:$B$6230,0)),"",INDIRECT("'SorP'!$A$"&amp;MATCH($J334,SorP!$B$1:$B$6230,0))))</f>
        <v>BE-VAN</v>
      </c>
      <c r="U334" s="238"/>
      <c r="V334" s="270">
        <f>IF(C334="",NA(),MATCH($B334&amp;$C334,'Smelter Look-up'!$J:$J,0))</f>
        <v>289</v>
      </c>
      <c r="W334" s="271"/>
      <c r="X334" s="271">
        <f t="shared" ref="X334:X335" si="52">IF(AND(C334="Smelter not listed",OR(LEN(D334)=0,LEN(E334)=0)),1,0)</f>
        <v>0</v>
      </c>
      <c r="Y334" s="271"/>
      <c r="Z334" s="271"/>
      <c r="AB334" s="273" t="str">
        <f t="shared" ref="AB334:AB335" si="53">B334&amp;C334</f>
        <v>GoldValue Trading</v>
      </c>
    </row>
    <row r="335" spans="1:28" s="272" customFormat="1" ht="38.25">
      <c r="A335" s="353" t="s">
        <v>15357</v>
      </c>
      <c r="B335" s="215" t="s">
        <v>1130</v>
      </c>
      <c r="C335" s="219" t="s">
        <v>15356</v>
      </c>
      <c r="D335" s="278" t="s">
        <v>15356</v>
      </c>
      <c r="E335" s="215" t="s">
        <v>1104</v>
      </c>
      <c r="F335" s="215" t="s">
        <v>15357</v>
      </c>
      <c r="G335" s="215" t="s">
        <v>13459</v>
      </c>
      <c r="H335" s="216">
        <v>0</v>
      </c>
      <c r="I335" s="217" t="s">
        <v>15433</v>
      </c>
      <c r="J335" s="217" t="s">
        <v>13052</v>
      </c>
      <c r="K335" s="268"/>
      <c r="L335" s="268"/>
      <c r="M335" s="268"/>
      <c r="N335" s="268"/>
      <c r="O335" s="268"/>
      <c r="P335" s="218"/>
      <c r="Q335" s="269"/>
      <c r="R335" s="215" t="str">
        <f ca="1">IF(ISERROR($V335),"",OFFSET('Smelter Look-up'!$C$4,$V335-4,0)&amp;"")</f>
        <v>WEEEREFINING</v>
      </c>
      <c r="S335" s="222" t="str">
        <f t="shared" ca="1" si="51"/>
        <v>FR</v>
      </c>
      <c r="T335" s="222" t="str">
        <f ca="1">IF(B335="","",IF(ISERROR(MATCH($J335,SorP!$B$1:$B$6230,0)),"",INDIRECT("'SorP'!$A$"&amp;MATCH($J335,SorP!$B$1:$B$6230,0))))</f>
        <v>FR-NOR</v>
      </c>
      <c r="U335" s="238"/>
      <c r="V335" s="270">
        <f>IF(C335="",NA(),MATCH($B335&amp;$C335,'Smelter Look-up'!$J:$J,0))</f>
        <v>290</v>
      </c>
      <c r="W335" s="271"/>
      <c r="X335" s="271">
        <f t="shared" si="52"/>
        <v>0</v>
      </c>
      <c r="Y335" s="271"/>
      <c r="Z335" s="271"/>
      <c r="AB335" s="273" t="str">
        <f t="shared" si="53"/>
        <v>GoldWEEEREFINING</v>
      </c>
    </row>
    <row r="336" spans="1:28" s="272" customFormat="1" ht="114.75">
      <c r="A336" s="353" t="s">
        <v>15367</v>
      </c>
      <c r="B336" s="215" t="s">
        <v>1132</v>
      </c>
      <c r="C336" s="219" t="s">
        <v>15366</v>
      </c>
      <c r="D336" s="278" t="s">
        <v>15366</v>
      </c>
      <c r="E336" s="215" t="s">
        <v>1100</v>
      </c>
      <c r="F336" s="215" t="s">
        <v>15367</v>
      </c>
      <c r="G336" s="215" t="s">
        <v>13459</v>
      </c>
      <c r="H336" s="216">
        <v>0</v>
      </c>
      <c r="I336" s="217" t="s">
        <v>15435</v>
      </c>
      <c r="J336" s="217" t="s">
        <v>13855</v>
      </c>
      <c r="K336" s="268"/>
      <c r="L336" s="268"/>
      <c r="M336" s="268"/>
      <c r="N336" s="268"/>
      <c r="O336" s="268"/>
      <c r="P336" s="218"/>
      <c r="Q336" s="269"/>
      <c r="R336" s="215" t="str">
        <f ca="1">IF(ISERROR($V336),"",OFFSET('Smelter Look-up'!$C$4,$V336-4,0)&amp;"")</f>
        <v>Yancheng Jinye New Material Technology Co., Ltd.</v>
      </c>
      <c r="S336" s="222" t="str">
        <f t="shared" ref="S336" ca="1" si="54">IF(B336="","",IF(ISERROR(MATCH($E336,CL,0)),"Unknown",INDIRECT("'C'!$A$"&amp;MATCH($E336,CL,0)+1)))</f>
        <v>CN</v>
      </c>
      <c r="T336" s="222" t="str">
        <f ca="1">IF(B336="","",IF(ISERROR(MATCH($J336,SorP!$B$1:$B$6230,0)),"",INDIRECT("'SorP'!$A$"&amp;MATCH($J336,SorP!$B$1:$B$6230,0))))</f>
        <v>CN-JS</v>
      </c>
      <c r="U336" s="238"/>
      <c r="V336" s="270">
        <f>IF(C336="",NA(),MATCH($B336&amp;$C336,'Smelter Look-up'!$J:$J,0))</f>
        <v>377</v>
      </c>
      <c r="W336" s="271"/>
      <c r="X336" s="271">
        <f t="shared" ref="X336" si="55">IF(AND(C336="Smelter not listed",OR(LEN(D336)=0,LEN(E336)=0)),1,0)</f>
        <v>0</v>
      </c>
      <c r="Y336" s="271"/>
      <c r="Z336" s="271"/>
      <c r="AB336" s="273" t="str">
        <f t="shared" ref="AB336" si="56">B336&amp;C336</f>
        <v>TantalumYancheng Jinye New Material Technology Co., Ltd.</v>
      </c>
    </row>
    <row r="337" spans="1:28" s="272" customFormat="1" ht="25.5">
      <c r="A337" s="353" t="s">
        <v>15375</v>
      </c>
      <c r="B337" s="215" t="s">
        <v>1131</v>
      </c>
      <c r="C337" s="219" t="s">
        <v>15374</v>
      </c>
      <c r="D337" s="278" t="s">
        <v>15374</v>
      </c>
      <c r="E337" s="215" t="s">
        <v>1105</v>
      </c>
      <c r="F337" s="215" t="s">
        <v>15375</v>
      </c>
      <c r="G337" s="215" t="s">
        <v>13459</v>
      </c>
      <c r="H337" s="216">
        <v>0</v>
      </c>
      <c r="I337" s="217" t="s">
        <v>1780</v>
      </c>
      <c r="J337" s="217" t="s">
        <v>13066</v>
      </c>
      <c r="K337" s="268"/>
      <c r="L337" s="268"/>
      <c r="M337" s="268"/>
      <c r="N337" s="268"/>
      <c r="O337" s="268"/>
      <c r="P337" s="218"/>
      <c r="Q337" s="269"/>
      <c r="R337" s="215" t="str">
        <f ca="1">IF(ISERROR($V337),"",OFFSET('Smelter Look-up'!$C$4,$V337-4,0)&amp;"")</f>
        <v>CV Ayi Jaya</v>
      </c>
      <c r="S337" s="222" t="str">
        <f t="shared" ref="S337:S338" ca="1" si="57">IF(B337="","",IF(ISERROR(MATCH($E337,CL,0)),"Unknown",INDIRECT("'C'!$A$"&amp;MATCH($E337,CL,0)+1)))</f>
        <v>ID</v>
      </c>
      <c r="T337" s="222" t="str">
        <f ca="1">IF(B337="","",IF(ISERROR(MATCH($J337,SorP!$B$1:$B$6230,0)),"",INDIRECT("'SorP'!$A$"&amp;MATCH($J337,SorP!$B$1:$B$6230,0))))</f>
        <v>ID-BB</v>
      </c>
      <c r="U337" s="238"/>
      <c r="V337" s="270">
        <f>IF(C337="",NA(),MATCH($B337&amp;$C337,'Smelter Look-up'!$J:$J,0))</f>
        <v>404</v>
      </c>
      <c r="W337" s="271"/>
      <c r="X337" s="271">
        <f t="shared" ref="X337:X338" si="58">IF(AND(C337="Smelter not listed",OR(LEN(D337)=0,LEN(E337)=0)),1,0)</f>
        <v>0</v>
      </c>
      <c r="Y337" s="271"/>
      <c r="Z337" s="271"/>
      <c r="AB337" s="273" t="str">
        <f t="shared" ref="AB337:AB338" si="59">B337&amp;C337</f>
        <v>TinCV Ayi Jaya</v>
      </c>
    </row>
    <row r="338" spans="1:28" s="272" customFormat="1" ht="51">
      <c r="A338" s="353" t="s">
        <v>15386</v>
      </c>
      <c r="B338" s="215" t="s">
        <v>1131</v>
      </c>
      <c r="C338" s="219" t="s">
        <v>15384</v>
      </c>
      <c r="D338" s="278" t="s">
        <v>15385</v>
      </c>
      <c r="E338" s="215" t="s">
        <v>1096</v>
      </c>
      <c r="F338" s="215" t="s">
        <v>15386</v>
      </c>
      <c r="G338" s="215" t="s">
        <v>13459</v>
      </c>
      <c r="H338" s="216">
        <v>0</v>
      </c>
      <c r="I338" s="217" t="s">
        <v>15439</v>
      </c>
      <c r="J338" s="217" t="s">
        <v>1683</v>
      </c>
      <c r="K338" s="268"/>
      <c r="L338" s="268"/>
      <c r="M338" s="268"/>
      <c r="N338" s="268"/>
      <c r="O338" s="268"/>
      <c r="P338" s="218"/>
      <c r="Q338" s="269"/>
      <c r="R338" s="215" t="str">
        <f ca="1">IF(ISERROR($V338),"",OFFSET('Smelter Look-up'!$C$4,$V338-4,0)&amp;"")</f>
        <v>Fabrica Auricchio Industria e Comercio Ltda.</v>
      </c>
      <c r="S338" s="222" t="str">
        <f t="shared" ca="1" si="57"/>
        <v>BR</v>
      </c>
      <c r="T338" s="222" t="str">
        <f ca="1">IF(B338="","",IF(ISERROR(MATCH($J338,SorP!$B$1:$B$6230,0)),"",INDIRECT("'SorP'!$A$"&amp;MATCH($J338,SorP!$B$1:$B$6230,0))))</f>
        <v>BR-SP</v>
      </c>
      <c r="U338" s="238"/>
      <c r="V338" s="270">
        <f>IF(C338="",NA(),MATCH($B338&amp;$C338,'Smelter Look-up'!$J:$J,0))</f>
        <v>418</v>
      </c>
      <c r="W338" s="271"/>
      <c r="X338" s="271">
        <f t="shared" si="58"/>
        <v>0</v>
      </c>
      <c r="Y338" s="271"/>
      <c r="Z338" s="271"/>
      <c r="AB338" s="273" t="str">
        <f t="shared" si="59"/>
        <v>TinFabrica Auricchio</v>
      </c>
    </row>
    <row r="339" spans="1:28" s="272" customFormat="1" ht="63.75">
      <c r="A339" s="353" t="s">
        <v>15415</v>
      </c>
      <c r="B339" s="215" t="s">
        <v>1133</v>
      </c>
      <c r="C339" s="219" t="s">
        <v>15414</v>
      </c>
      <c r="D339" s="278" t="s">
        <v>15414</v>
      </c>
      <c r="E339" s="215" t="s">
        <v>1100</v>
      </c>
      <c r="F339" s="215" t="s">
        <v>15415</v>
      </c>
      <c r="G339" s="215" t="s">
        <v>13459</v>
      </c>
      <c r="H339" s="216">
        <v>0</v>
      </c>
      <c r="I339" s="217" t="s">
        <v>14068</v>
      </c>
      <c r="J339" s="217" t="s">
        <v>13841</v>
      </c>
      <c r="K339" s="268"/>
      <c r="L339" s="268"/>
      <c r="M339" s="268"/>
      <c r="N339" s="268"/>
      <c r="O339" s="268"/>
      <c r="P339" s="218"/>
      <c r="Q339" s="269"/>
      <c r="R339" s="215" t="str">
        <f ca="1">IF(ISERROR($V339),"",OFFSET('Smelter Look-up'!$C$4,$V339-4,0)&amp;"")</f>
        <v>Fujian Xinlu Tungsten</v>
      </c>
      <c r="S339" s="222" t="str">
        <f t="shared" ref="S339" ca="1" si="60">IF(B339="","",IF(ISERROR(MATCH($E339,CL,0)),"Unknown",INDIRECT("'C'!$A$"&amp;MATCH($E339,CL,0)+1)))</f>
        <v>CN</v>
      </c>
      <c r="T339" s="222" t="str">
        <f ca="1">IF(B339="","",IF(ISERROR(MATCH($J339,SorP!$B$1:$B$6230,0)),"",INDIRECT("'SorP'!$A$"&amp;MATCH($J339,SorP!$B$1:$B$6230,0))))</f>
        <v>CN-FJ</v>
      </c>
      <c r="U339" s="238"/>
      <c r="V339" s="270">
        <f>IF(C339="",NA(),MATCH($B339&amp;$C339,'Smelter Look-up'!$J:$J,0))</f>
        <v>554</v>
      </c>
      <c r="W339" s="271"/>
      <c r="X339" s="271">
        <f t="shared" ref="X339" si="61">IF(AND(C339="Smelter not listed",OR(LEN(D339)=0,LEN(E339)=0)),1,0)</f>
        <v>0</v>
      </c>
      <c r="Y339" s="271"/>
      <c r="Z339" s="271"/>
      <c r="AB339" s="273" t="str">
        <f t="shared" ref="AB339" si="62">B339&amp;C339</f>
        <v>TungstenFujian Xinlu Tungsten</v>
      </c>
    </row>
    <row r="340" spans="1:28" s="272" customFormat="1" ht="83.25" customHeight="1">
      <c r="A340" s="353" t="s">
        <v>2572</v>
      </c>
      <c r="B340" s="215" t="s">
        <v>1133</v>
      </c>
      <c r="C340" s="219" t="s">
        <v>2571</v>
      </c>
      <c r="D340" s="278" t="s">
        <v>2571</v>
      </c>
      <c r="E340" s="215" t="s">
        <v>1100</v>
      </c>
      <c r="F340" s="215" t="s">
        <v>2572</v>
      </c>
      <c r="G340" s="215" t="s">
        <v>13459</v>
      </c>
      <c r="H340" s="216">
        <v>0</v>
      </c>
      <c r="I340" s="217" t="s">
        <v>2576</v>
      </c>
      <c r="J340" s="217" t="s">
        <v>13846</v>
      </c>
      <c r="K340" s="268"/>
      <c r="L340" s="268"/>
      <c r="M340" s="268"/>
      <c r="N340" s="268"/>
      <c r="O340" s="268"/>
      <c r="P340" s="218"/>
      <c r="Q340" s="269"/>
      <c r="R340" s="215" t="str">
        <f ca="1">IF(ISERROR($V340),"",OFFSET('Smelter Look-up'!$C$4,$V340-4,0)&amp;"")</f>
        <v>Hunan Litian Tungsten Industry Co., Ltd.</v>
      </c>
      <c r="S340" s="222" t="str">
        <f t="shared" ref="S340:S341" ca="1" si="63">IF(B340="","",IF(ISERROR(MATCH($E340,CL,0)),"Unknown",INDIRECT("'C'!$A$"&amp;MATCH($E340,CL,0)+1)))</f>
        <v>CN</v>
      </c>
      <c r="T340" s="222" t="str">
        <f ca="1">IF(B340="","",IF(ISERROR(MATCH($J340,SorP!$B$1:$B$6230,0)),"",INDIRECT("'SorP'!$A$"&amp;MATCH($J340,SorP!$B$1:$B$6230,0))))</f>
        <v>CN-HN</v>
      </c>
      <c r="U340" s="238"/>
      <c r="V340" s="270">
        <f>IF(C340="",NA(),MATCH($B340&amp;$C340,'Smelter Look-up'!$J:$J,0))</f>
        <v>570</v>
      </c>
      <c r="W340" s="271"/>
      <c r="X340" s="271">
        <f t="shared" ref="X340:X341" si="64">IF(AND(C340="Smelter not listed",OR(LEN(D340)=0,LEN(E340)=0)),1,0)</f>
        <v>0</v>
      </c>
      <c r="Y340" s="271"/>
      <c r="Z340" s="271"/>
      <c r="AB340" s="273" t="str">
        <f t="shared" ref="AB340:AB341" si="65">B340&amp;C340</f>
        <v>TungstenHunan Litian Tungsten Industry Co., Ltd.</v>
      </c>
    </row>
    <row r="341" spans="1:28" s="272" customFormat="1" ht="51">
      <c r="A341" s="353" t="s">
        <v>15418</v>
      </c>
      <c r="B341" s="215" t="s">
        <v>1133</v>
      </c>
      <c r="C341" s="219" t="s">
        <v>15417</v>
      </c>
      <c r="D341" s="278" t="s">
        <v>15417</v>
      </c>
      <c r="E341" s="215" t="s">
        <v>883</v>
      </c>
      <c r="F341" s="215" t="s">
        <v>15418</v>
      </c>
      <c r="G341" s="215" t="s">
        <v>13459</v>
      </c>
      <c r="H341" s="216">
        <v>0</v>
      </c>
      <c r="I341" s="217" t="s">
        <v>15448</v>
      </c>
      <c r="J341" s="217" t="s">
        <v>10169</v>
      </c>
      <c r="K341" s="268"/>
      <c r="L341" s="268"/>
      <c r="M341" s="268"/>
      <c r="N341" s="268"/>
      <c r="O341" s="268"/>
      <c r="P341" s="218"/>
      <c r="Q341" s="269"/>
      <c r="R341" s="215" t="str">
        <f ca="1">IF(ISERROR($V341),"",OFFSET('Smelter Look-up'!$C$4,$V341-4,0)&amp;"")</f>
        <v>OOO “Technolom” 1</v>
      </c>
      <c r="S341" s="222" t="str">
        <f t="shared" ca="1" si="63"/>
        <v>RU</v>
      </c>
      <c r="T341" s="222" t="str">
        <f ca="1">IF(B341="","",IF(ISERROR(MATCH($J341,SorP!$B$1:$B$6230,0)),"",INDIRECT("'SorP'!$A$"&amp;MATCH($J341,SorP!$B$1:$B$6230,0))))</f>
        <v>RU-MOS</v>
      </c>
      <c r="U341" s="238"/>
      <c r="V341" s="270">
        <f>IF(C341="",NA(),MATCH($B341&amp;$C341,'Smelter Look-up'!$J:$J,0))</f>
        <v>593</v>
      </c>
      <c r="W341" s="271"/>
      <c r="X341" s="271">
        <f t="shared" si="64"/>
        <v>0</v>
      </c>
      <c r="Y341" s="271"/>
      <c r="Z341" s="271"/>
      <c r="AB341" s="273" t="str">
        <f t="shared" si="65"/>
        <v>TungstenOOO “Technolom” 1</v>
      </c>
    </row>
    <row r="342" spans="1:28" s="272" customFormat="1" ht="51">
      <c r="A342" s="353" t="s">
        <v>15420</v>
      </c>
      <c r="B342" s="215" t="s">
        <v>1133</v>
      </c>
      <c r="C342" s="219" t="s">
        <v>15419</v>
      </c>
      <c r="D342" s="278" t="s">
        <v>15419</v>
      </c>
      <c r="E342" s="215" t="s">
        <v>883</v>
      </c>
      <c r="F342" s="215" t="s">
        <v>15420</v>
      </c>
      <c r="G342" s="215" t="s">
        <v>13459</v>
      </c>
      <c r="H342" s="216">
        <v>0</v>
      </c>
      <c r="I342" s="217" t="s">
        <v>15448</v>
      </c>
      <c r="J342" s="217" t="s">
        <v>10169</v>
      </c>
      <c r="K342" s="268"/>
      <c r="L342" s="268"/>
      <c r="M342" s="268"/>
      <c r="N342" s="268"/>
      <c r="O342" s="268"/>
      <c r="P342" s="218"/>
      <c r="Q342" s="269"/>
      <c r="R342" s="215" t="str">
        <f ca="1">IF(ISERROR($V342),"",OFFSET('Smelter Look-up'!$C$4,$V342-4,0)&amp;"")</f>
        <v>OOO “Technolom” 2</v>
      </c>
      <c r="S342" s="222" t="str">
        <f t="shared" ref="S342" ca="1" si="66">IF(B342="","",IF(ISERROR(MATCH($E342,CL,0)),"Unknown",INDIRECT("'C'!$A$"&amp;MATCH($E342,CL,0)+1)))</f>
        <v>RU</v>
      </c>
      <c r="T342" s="222" t="str">
        <f ca="1">IF(B342="","",IF(ISERROR(MATCH($J342,SorP!$B$1:$B$6230,0)),"",INDIRECT("'SorP'!$A$"&amp;MATCH($J342,SorP!$B$1:$B$6230,0))))</f>
        <v>RU-MOS</v>
      </c>
      <c r="U342" s="238"/>
      <c r="V342" s="270">
        <f>IF(C342="",NA(),MATCH($B342&amp;$C342,'Smelter Look-up'!$J:$J,0))</f>
        <v>594</v>
      </c>
      <c r="W342" s="271"/>
      <c r="X342" s="271">
        <f t="shared" ref="X342" si="67">IF(AND(C342="Smelter not listed",OR(LEN(D342)=0,LEN(E342)=0)),1,0)</f>
        <v>0</v>
      </c>
      <c r="Y342" s="271"/>
      <c r="Z342" s="271"/>
      <c r="AB342" s="273" t="str">
        <f t="shared" ref="AB342" si="68">B342&amp;C342</f>
        <v>TungstenOOO “Technolom” 2</v>
      </c>
    </row>
    <row r="343" spans="1:28" s="272" customFormat="1" ht="63.75">
      <c r="A343" s="353" t="s">
        <v>2296</v>
      </c>
      <c r="B343" s="215" t="s">
        <v>1133</v>
      </c>
      <c r="C343" s="219" t="s">
        <v>2295</v>
      </c>
      <c r="D343" s="278" t="s">
        <v>2295</v>
      </c>
      <c r="E343" s="215" t="s">
        <v>1111</v>
      </c>
      <c r="F343" s="215" t="s">
        <v>2296</v>
      </c>
      <c r="G343" s="215" t="s">
        <v>13459</v>
      </c>
      <c r="H343" s="216">
        <v>0</v>
      </c>
      <c r="I343" s="217" t="s">
        <v>13161</v>
      </c>
      <c r="J343" s="217" t="s">
        <v>13086</v>
      </c>
      <c r="K343" s="268"/>
      <c r="L343" s="268"/>
      <c r="M343" s="268"/>
      <c r="N343" s="268"/>
      <c r="O343" s="268"/>
      <c r="P343" s="218"/>
      <c r="Q343" s="269"/>
      <c r="R343" s="215" t="str">
        <f ca="1">IF(ISERROR($V343),"",OFFSET('Smelter Look-up'!$C$4,$V343-4,0)&amp;"")</f>
        <v>Woltech Korea Co., Ltd.</v>
      </c>
      <c r="S343" s="222" t="str">
        <f t="shared" ref="S343:S344" ca="1" si="69">IF(B343="","",IF(ISERROR(MATCH($E343,CL,0)),"Unknown",INDIRECT("'C'!$A$"&amp;MATCH($E343,CL,0)+1)))</f>
        <v>KR</v>
      </c>
      <c r="T343" s="222" t="str">
        <f ca="1">IF(B343="","",IF(ISERROR(MATCH($J343,SorP!$B$1:$B$6230,0)),"",INDIRECT("'SorP'!$A$"&amp;MATCH($J343,SorP!$B$1:$B$6230,0))))</f>
        <v>KR-47</v>
      </c>
      <c r="U343" s="238"/>
      <c r="V343" s="270">
        <f>IF(C343="",NA(),MATCH($B343&amp;$C343,'Smelter Look-up'!$J:$J,0))</f>
        <v>602</v>
      </c>
      <c r="W343" s="271"/>
      <c r="X343" s="271">
        <f t="shared" ref="X343:X344" si="70">IF(AND(C343="Smelter not listed",OR(LEN(D343)=0,LEN(E343)=0)),1,0)</f>
        <v>0</v>
      </c>
      <c r="Y343" s="271"/>
      <c r="Z343" s="271"/>
      <c r="AB343" s="273" t="str">
        <f t="shared" ref="AB343:AB344" si="71">B343&amp;C343</f>
        <v>TungstenWoltech Korea Co., Ltd.</v>
      </c>
    </row>
    <row r="344" spans="1:28" s="272" customFormat="1" ht="51">
      <c r="A344" s="353" t="s">
        <v>16809</v>
      </c>
      <c r="B344" s="215" t="s">
        <v>1130</v>
      </c>
      <c r="C344" s="219" t="s">
        <v>16810</v>
      </c>
      <c r="D344" s="278"/>
      <c r="E344" s="215" t="s">
        <v>1096</v>
      </c>
      <c r="F344" s="215" t="s">
        <v>16809</v>
      </c>
      <c r="G344" s="215" t="s">
        <v>13459</v>
      </c>
      <c r="H344" s="216">
        <v>0</v>
      </c>
      <c r="I344" s="217" t="s">
        <v>16811</v>
      </c>
      <c r="J344" s="217" t="s">
        <v>1683</v>
      </c>
      <c r="K344" s="268"/>
      <c r="L344" s="268"/>
      <c r="M344" s="268"/>
      <c r="N344" s="268"/>
      <c r="O344" s="268"/>
      <c r="P344" s="218"/>
      <c r="Q344" s="269"/>
      <c r="R344" s="215" t="str">
        <f ca="1">IF(ISERROR($V344),"",OFFSET('Smelter Look-up'!$C$4,$V344-4,0)&amp;"")</f>
        <v/>
      </c>
      <c r="S344" s="222" t="str">
        <f t="shared" ca="1" si="69"/>
        <v>BR</v>
      </c>
      <c r="T344" s="222" t="str">
        <f ca="1">IF(B344="","",IF(ISERROR(MATCH($J344,SorP!$B$1:$B$6230,0)),"",INDIRECT("'SorP'!$A$"&amp;MATCH($J344,SorP!$B$1:$B$6230,0))))</f>
        <v>BR-SP</v>
      </c>
      <c r="U344" s="238"/>
      <c r="V344" s="270" t="e">
        <f>IF(C344="",NA(),MATCH($B344&amp;$C344,'Smelter Look-up'!$J:$J,0))</f>
        <v>#N/A</v>
      </c>
      <c r="W344" s="271"/>
      <c r="X344" s="271">
        <f t="shared" si="70"/>
        <v>0</v>
      </c>
      <c r="Y344" s="271"/>
      <c r="Z344" s="271"/>
      <c r="AB344" s="273" t="str">
        <f t="shared" si="71"/>
        <v>GoldUmicore Brasil Ltda.</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ref="S345:S376" ca="1" si="72">IF(B345="","",IF(ISERROR(MATCH($E345,CL,0)),"Unknown",INDIRECT("'C'!$A$"&amp;MATCH($E345,CL,0)+1)))</f>
        <v/>
      </c>
      <c r="T345" s="222" t="str">
        <f ca="1">IF(B345="","",IF(ISERROR(MATCH($J345,SorP!$B$1:$B$6230,0)),"",INDIRECT("'SorP'!$A$"&amp;MATCH($J345,SorP!$B$1:$B$6230,0))))</f>
        <v/>
      </c>
      <c r="U345" s="238"/>
      <c r="V345" s="270" t="e">
        <f>IF(C345="",NA(),MATCH($B345&amp;$C345,'Smelter Look-up'!$J:$J,0))</f>
        <v>#N/A</v>
      </c>
      <c r="W345" s="271"/>
      <c r="X345" s="271">
        <f t="shared" ref="X345:X376" ca="1" si="73">IF(AND(C345="Smelter not listed",OR(LEN(D345)=0,LEN(E345)=0)),1,0)</f>
        <v>0</v>
      </c>
      <c r="Y345" s="271"/>
      <c r="Z345" s="271"/>
      <c r="AB345" s="273" t="str">
        <f t="shared" ref="AB345:AB376" si="74">B345&amp;C345</f>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72"/>
        <v/>
      </c>
      <c r="T346" s="222" t="str">
        <f ca="1">IF(B346="","",IF(ISERROR(MATCH($J346,SorP!$B$1:$B$6230,0)),"",INDIRECT("'SorP'!$A$"&amp;MATCH($J346,SorP!$B$1:$B$6230,0))))</f>
        <v/>
      </c>
      <c r="U346" s="238"/>
      <c r="V346" s="270" t="e">
        <f>IF(C346="",NA(),MATCH($B346&amp;$C346,'Smelter Look-up'!$J:$J,0))</f>
        <v>#N/A</v>
      </c>
      <c r="W346" s="271"/>
      <c r="X346" s="271">
        <f t="shared" ca="1" si="73"/>
        <v>0</v>
      </c>
      <c r="Y346" s="271"/>
      <c r="Z346" s="271"/>
      <c r="AB346" s="273" t="str">
        <f t="shared" si="74"/>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72"/>
        <v/>
      </c>
      <c r="T347" s="222" t="str">
        <f ca="1">IF(B347="","",IF(ISERROR(MATCH($J347,SorP!$B$1:$B$6230,0)),"",INDIRECT("'SorP'!$A$"&amp;MATCH($J347,SorP!$B$1:$B$6230,0))))</f>
        <v/>
      </c>
      <c r="U347" s="238"/>
      <c r="V347" s="270" t="e">
        <f>IF(C347="",NA(),MATCH($B347&amp;$C347,'Smelter Look-up'!$J:$J,0))</f>
        <v>#N/A</v>
      </c>
      <c r="W347" s="271"/>
      <c r="X347" s="271">
        <f t="shared" ca="1" si="73"/>
        <v>0</v>
      </c>
      <c r="Y347" s="271"/>
      <c r="Z347" s="271"/>
      <c r="AB347" s="273" t="str">
        <f t="shared" si="74"/>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72"/>
        <v/>
      </c>
      <c r="T348" s="222" t="str">
        <f ca="1">IF(B348="","",IF(ISERROR(MATCH($J348,SorP!$B$1:$B$6230,0)),"",INDIRECT("'SorP'!$A$"&amp;MATCH($J348,SorP!$B$1:$B$6230,0))))</f>
        <v/>
      </c>
      <c r="U348" s="238"/>
      <c r="V348" s="270" t="e">
        <f>IF(C348="",NA(),MATCH($B348&amp;$C348,'Smelter Look-up'!$J:$J,0))</f>
        <v>#N/A</v>
      </c>
      <c r="W348" s="271"/>
      <c r="X348" s="271">
        <f t="shared" ca="1" si="73"/>
        <v>0</v>
      </c>
      <c r="Y348" s="271"/>
      <c r="Z348" s="271"/>
      <c r="AB348" s="273" t="str">
        <f t="shared" si="74"/>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72"/>
        <v/>
      </c>
      <c r="T349" s="222" t="str">
        <f ca="1">IF(B349="","",IF(ISERROR(MATCH($J349,SorP!$B$1:$B$6230,0)),"",INDIRECT("'SorP'!$A$"&amp;MATCH($J349,SorP!$B$1:$B$6230,0))))</f>
        <v/>
      </c>
      <c r="U349" s="238"/>
      <c r="V349" s="270" t="e">
        <f>IF(C349="",NA(),MATCH($B349&amp;$C349,'Smelter Look-up'!$J:$J,0))</f>
        <v>#N/A</v>
      </c>
      <c r="W349" s="271"/>
      <c r="X349" s="271">
        <f t="shared" ca="1" si="73"/>
        <v>0</v>
      </c>
      <c r="Y349" s="271"/>
      <c r="Z349" s="271"/>
      <c r="AB349" s="273" t="str">
        <f t="shared" si="74"/>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72"/>
        <v/>
      </c>
      <c r="T350" s="222" t="str">
        <f ca="1">IF(B350="","",IF(ISERROR(MATCH($J350,SorP!$B$1:$B$6230,0)),"",INDIRECT("'SorP'!$A$"&amp;MATCH($J350,SorP!$B$1:$B$6230,0))))</f>
        <v/>
      </c>
      <c r="U350" s="238"/>
      <c r="V350" s="270" t="e">
        <f>IF(C350="",NA(),MATCH($B350&amp;$C350,'Smelter Look-up'!$J:$J,0))</f>
        <v>#N/A</v>
      </c>
      <c r="W350" s="271"/>
      <c r="X350" s="271">
        <f t="shared" ca="1" si="73"/>
        <v>0</v>
      </c>
      <c r="Y350" s="271"/>
      <c r="Z350" s="271"/>
      <c r="AB350" s="273" t="str">
        <f t="shared" si="74"/>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72"/>
        <v/>
      </c>
      <c r="T351" s="222" t="str">
        <f ca="1">IF(B351="","",IF(ISERROR(MATCH($J351,SorP!$B$1:$B$6230,0)),"",INDIRECT("'SorP'!$A$"&amp;MATCH($J351,SorP!$B$1:$B$6230,0))))</f>
        <v/>
      </c>
      <c r="U351" s="238"/>
      <c r="V351" s="270" t="e">
        <f>IF(C351="",NA(),MATCH($B351&amp;$C351,'Smelter Look-up'!$J:$J,0))</f>
        <v>#N/A</v>
      </c>
      <c r="W351" s="271"/>
      <c r="X351" s="271">
        <f t="shared" ca="1" si="73"/>
        <v>0</v>
      </c>
      <c r="Y351" s="271"/>
      <c r="Z351" s="271"/>
      <c r="AB351" s="273" t="str">
        <f t="shared" si="74"/>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72"/>
        <v/>
      </c>
      <c r="T352" s="222" t="str">
        <f ca="1">IF(B352="","",IF(ISERROR(MATCH($J352,SorP!$B$1:$B$6230,0)),"",INDIRECT("'SorP'!$A$"&amp;MATCH($J352,SorP!$B$1:$B$6230,0))))</f>
        <v/>
      </c>
      <c r="U352" s="238"/>
      <c r="V352" s="270" t="e">
        <f>IF(C352="",NA(),MATCH($B352&amp;$C352,'Smelter Look-up'!$J:$J,0))</f>
        <v>#N/A</v>
      </c>
      <c r="W352" s="271"/>
      <c r="X352" s="271">
        <f t="shared" ca="1" si="73"/>
        <v>0</v>
      </c>
      <c r="Y352" s="271"/>
      <c r="Z352" s="271"/>
      <c r="AB352" s="273" t="str">
        <f t="shared" si="74"/>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72"/>
        <v/>
      </c>
      <c r="T353" s="222" t="str">
        <f ca="1">IF(B353="","",IF(ISERROR(MATCH($J353,SorP!$B$1:$B$6230,0)),"",INDIRECT("'SorP'!$A$"&amp;MATCH($J353,SorP!$B$1:$B$6230,0))))</f>
        <v/>
      </c>
      <c r="U353" s="238"/>
      <c r="V353" s="270" t="e">
        <f>IF(C353="",NA(),MATCH($B353&amp;$C353,'Smelter Look-up'!$J:$J,0))</f>
        <v>#N/A</v>
      </c>
      <c r="W353" s="271"/>
      <c r="X353" s="271">
        <f t="shared" ca="1" si="73"/>
        <v>0</v>
      </c>
      <c r="Y353" s="271"/>
      <c r="Z353" s="271"/>
      <c r="AB353" s="273" t="str">
        <f t="shared" si="74"/>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72"/>
        <v/>
      </c>
      <c r="T354" s="222" t="str">
        <f ca="1">IF(B354="","",IF(ISERROR(MATCH($J354,SorP!$B$1:$B$6230,0)),"",INDIRECT("'SorP'!$A$"&amp;MATCH($J354,SorP!$B$1:$B$6230,0))))</f>
        <v/>
      </c>
      <c r="U354" s="238"/>
      <c r="V354" s="270" t="e">
        <f>IF(C354="",NA(),MATCH($B354&amp;$C354,'Smelter Look-up'!$J:$J,0))</f>
        <v>#N/A</v>
      </c>
      <c r="W354" s="271"/>
      <c r="X354" s="271">
        <f t="shared" ca="1" si="73"/>
        <v>0</v>
      </c>
      <c r="Y354" s="271"/>
      <c r="Z354" s="271"/>
      <c r="AB354" s="273" t="str">
        <f t="shared" si="74"/>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72"/>
        <v/>
      </c>
      <c r="T355" s="222" t="str">
        <f ca="1">IF(B355="","",IF(ISERROR(MATCH($J355,SorP!$B$1:$B$6230,0)),"",INDIRECT("'SorP'!$A$"&amp;MATCH($J355,SorP!$B$1:$B$6230,0))))</f>
        <v/>
      </c>
      <c r="U355" s="238"/>
      <c r="V355" s="270" t="e">
        <f>IF(C355="",NA(),MATCH($B355&amp;$C355,'Smelter Look-up'!$J:$J,0))</f>
        <v>#N/A</v>
      </c>
      <c r="W355" s="271"/>
      <c r="X355" s="271">
        <f t="shared" ca="1" si="73"/>
        <v>0</v>
      </c>
      <c r="Y355" s="271"/>
      <c r="Z355" s="271"/>
      <c r="AB355" s="273" t="str">
        <f t="shared" si="74"/>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72"/>
        <v/>
      </c>
      <c r="T356" s="222" t="str">
        <f ca="1">IF(B356="","",IF(ISERROR(MATCH($J356,SorP!$B$1:$B$6230,0)),"",INDIRECT("'SorP'!$A$"&amp;MATCH($J356,SorP!$B$1:$B$6230,0))))</f>
        <v/>
      </c>
      <c r="U356" s="238"/>
      <c r="V356" s="270" t="e">
        <f>IF(C356="",NA(),MATCH($B356&amp;$C356,'Smelter Look-up'!$J:$J,0))</f>
        <v>#N/A</v>
      </c>
      <c r="W356" s="271"/>
      <c r="X356" s="271">
        <f t="shared" ca="1" si="73"/>
        <v>0</v>
      </c>
      <c r="Y356" s="271"/>
      <c r="Z356" s="271"/>
      <c r="AB356" s="273" t="str">
        <f t="shared" si="74"/>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72"/>
        <v/>
      </c>
      <c r="T357" s="222" t="str">
        <f ca="1">IF(B357="","",IF(ISERROR(MATCH($J357,SorP!$B$1:$B$6230,0)),"",INDIRECT("'SorP'!$A$"&amp;MATCH($J357,SorP!$B$1:$B$6230,0))))</f>
        <v/>
      </c>
      <c r="U357" s="238"/>
      <c r="V357" s="270" t="e">
        <f>IF(C357="",NA(),MATCH($B357&amp;$C357,'Smelter Look-up'!$J:$J,0))</f>
        <v>#N/A</v>
      </c>
      <c r="W357" s="271"/>
      <c r="X357" s="271">
        <f t="shared" ca="1" si="73"/>
        <v>0</v>
      </c>
      <c r="Y357" s="271"/>
      <c r="Z357" s="271"/>
      <c r="AB357" s="273" t="str">
        <f t="shared" si="74"/>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ca="1" si="72"/>
        <v/>
      </c>
      <c r="T358" s="222" t="str">
        <f ca="1">IF(B358="","",IF(ISERROR(MATCH($J358,SorP!$B$1:$B$6230,0)),"",INDIRECT("'SorP'!$A$"&amp;MATCH($J358,SorP!$B$1:$B$6230,0))))</f>
        <v/>
      </c>
      <c r="U358" s="238"/>
      <c r="V358" s="270" t="e">
        <f>IF(C358="",NA(),MATCH($B358&amp;$C358,'Smelter Look-up'!$J:$J,0))</f>
        <v>#N/A</v>
      </c>
      <c r="W358" s="271"/>
      <c r="X358" s="271">
        <f t="shared" ca="1" si="73"/>
        <v>0</v>
      </c>
      <c r="Y358" s="271"/>
      <c r="Z358" s="271"/>
      <c r="AB358" s="273" t="str">
        <f t="shared" si="74"/>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72"/>
        <v/>
      </c>
      <c r="T359" s="222" t="str">
        <f ca="1">IF(B359="","",IF(ISERROR(MATCH($J359,SorP!$B$1:$B$6230,0)),"",INDIRECT("'SorP'!$A$"&amp;MATCH($J359,SorP!$B$1:$B$6230,0))))</f>
        <v/>
      </c>
      <c r="U359" s="238"/>
      <c r="V359" s="270" t="e">
        <f>IF(C359="",NA(),MATCH($B359&amp;$C359,'Smelter Look-up'!$J:$J,0))</f>
        <v>#N/A</v>
      </c>
      <c r="W359" s="271"/>
      <c r="X359" s="271">
        <f t="shared" ca="1" si="73"/>
        <v>0</v>
      </c>
      <c r="Y359" s="271"/>
      <c r="Z359" s="271"/>
      <c r="AB359" s="273" t="str">
        <f t="shared" si="74"/>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72"/>
        <v/>
      </c>
      <c r="T360" s="222" t="str">
        <f ca="1">IF(B360="","",IF(ISERROR(MATCH($J360,SorP!$B$1:$B$6230,0)),"",INDIRECT("'SorP'!$A$"&amp;MATCH($J360,SorP!$B$1:$B$6230,0))))</f>
        <v/>
      </c>
      <c r="U360" s="238"/>
      <c r="V360" s="270" t="e">
        <f>IF(C360="",NA(),MATCH($B360&amp;$C360,'Smelter Look-up'!$J:$J,0))</f>
        <v>#N/A</v>
      </c>
      <c r="W360" s="271"/>
      <c r="X360" s="271">
        <f t="shared" ca="1" si="73"/>
        <v>0</v>
      </c>
      <c r="Y360" s="271"/>
      <c r="Z360" s="271"/>
      <c r="AB360" s="273" t="str">
        <f t="shared" si="74"/>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72"/>
        <v/>
      </c>
      <c r="T361" s="222" t="str">
        <f ca="1">IF(B361="","",IF(ISERROR(MATCH($J361,SorP!$B$1:$B$6230,0)),"",INDIRECT("'SorP'!$A$"&amp;MATCH($J361,SorP!$B$1:$B$6230,0))))</f>
        <v/>
      </c>
      <c r="U361" s="238"/>
      <c r="V361" s="270" t="e">
        <f>IF(C361="",NA(),MATCH($B361&amp;$C361,'Smelter Look-up'!$J:$J,0))</f>
        <v>#N/A</v>
      </c>
      <c r="W361" s="271"/>
      <c r="X361" s="271">
        <f t="shared" ca="1" si="73"/>
        <v>0</v>
      </c>
      <c r="Y361" s="271"/>
      <c r="Z361" s="271"/>
      <c r="AB361" s="273" t="str">
        <f t="shared" si="74"/>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72"/>
        <v/>
      </c>
      <c r="T362" s="222" t="str">
        <f ca="1">IF(B362="","",IF(ISERROR(MATCH($J362,SorP!$B$1:$B$6230,0)),"",INDIRECT("'SorP'!$A$"&amp;MATCH($J362,SorP!$B$1:$B$6230,0))))</f>
        <v/>
      </c>
      <c r="U362" s="238"/>
      <c r="V362" s="270" t="e">
        <f>IF(C362="",NA(),MATCH($B362&amp;$C362,'Smelter Look-up'!$J:$J,0))</f>
        <v>#N/A</v>
      </c>
      <c r="W362" s="271"/>
      <c r="X362" s="271">
        <f t="shared" ca="1" si="73"/>
        <v>0</v>
      </c>
      <c r="Y362" s="271"/>
      <c r="Z362" s="271"/>
      <c r="AB362" s="273" t="str">
        <f t="shared" si="74"/>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72"/>
        <v/>
      </c>
      <c r="T363" s="222" t="str">
        <f ca="1">IF(B363="","",IF(ISERROR(MATCH($J363,SorP!$B$1:$B$6230,0)),"",INDIRECT("'SorP'!$A$"&amp;MATCH($J363,SorP!$B$1:$B$6230,0))))</f>
        <v/>
      </c>
      <c r="U363" s="238"/>
      <c r="V363" s="270" t="e">
        <f>IF(C363="",NA(),MATCH($B363&amp;$C363,'Smelter Look-up'!$J:$J,0))</f>
        <v>#N/A</v>
      </c>
      <c r="W363" s="271"/>
      <c r="X363" s="271">
        <f t="shared" ca="1" si="73"/>
        <v>0</v>
      </c>
      <c r="Y363" s="271"/>
      <c r="Z363" s="271"/>
      <c r="AB363" s="273" t="str">
        <f t="shared" si="74"/>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72"/>
        <v/>
      </c>
      <c r="T364" s="222" t="str">
        <f ca="1">IF(B364="","",IF(ISERROR(MATCH($J364,SorP!$B$1:$B$6230,0)),"",INDIRECT("'SorP'!$A$"&amp;MATCH($J364,SorP!$B$1:$B$6230,0))))</f>
        <v/>
      </c>
      <c r="U364" s="238"/>
      <c r="V364" s="270" t="e">
        <f>IF(C364="",NA(),MATCH($B364&amp;$C364,'Smelter Look-up'!$J:$J,0))</f>
        <v>#N/A</v>
      </c>
      <c r="W364" s="271"/>
      <c r="X364" s="271">
        <f t="shared" ca="1" si="73"/>
        <v>0</v>
      </c>
      <c r="Y364" s="271"/>
      <c r="Z364" s="271"/>
      <c r="AB364" s="273" t="str">
        <f t="shared" si="74"/>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72"/>
        <v/>
      </c>
      <c r="T365" s="222" t="str">
        <f ca="1">IF(B365="","",IF(ISERROR(MATCH($J365,SorP!$B$1:$B$6230,0)),"",INDIRECT("'SorP'!$A$"&amp;MATCH($J365,SorP!$B$1:$B$6230,0))))</f>
        <v/>
      </c>
      <c r="U365" s="238"/>
      <c r="V365" s="270" t="e">
        <f>IF(C365="",NA(),MATCH($B365&amp;$C365,'Smelter Look-up'!$J:$J,0))</f>
        <v>#N/A</v>
      </c>
      <c r="W365" s="271"/>
      <c r="X365" s="271">
        <f t="shared" ca="1" si="73"/>
        <v>0</v>
      </c>
      <c r="Y365" s="271"/>
      <c r="Z365" s="271"/>
      <c r="AB365" s="273" t="str">
        <f t="shared" si="74"/>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72"/>
        <v/>
      </c>
      <c r="T366" s="222" t="str">
        <f ca="1">IF(B366="","",IF(ISERROR(MATCH($J366,SorP!$B$1:$B$6230,0)),"",INDIRECT("'SorP'!$A$"&amp;MATCH($J366,SorP!$B$1:$B$6230,0))))</f>
        <v/>
      </c>
      <c r="U366" s="238"/>
      <c r="V366" s="270" t="e">
        <f>IF(C366="",NA(),MATCH($B366&amp;$C366,'Smelter Look-up'!$J:$J,0))</f>
        <v>#N/A</v>
      </c>
      <c r="W366" s="271"/>
      <c r="X366" s="271">
        <f t="shared" ca="1" si="73"/>
        <v>0</v>
      </c>
      <c r="Y366" s="271"/>
      <c r="Z366" s="271"/>
      <c r="AB366" s="273" t="str">
        <f t="shared" si="74"/>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72"/>
        <v/>
      </c>
      <c r="T367" s="222" t="str">
        <f ca="1">IF(B367="","",IF(ISERROR(MATCH($J367,SorP!$B$1:$B$6230,0)),"",INDIRECT("'SorP'!$A$"&amp;MATCH($J367,SorP!$B$1:$B$6230,0))))</f>
        <v/>
      </c>
      <c r="U367" s="238"/>
      <c r="V367" s="270" t="e">
        <f>IF(C367="",NA(),MATCH($B367&amp;$C367,'Smelter Look-up'!$J:$J,0))</f>
        <v>#N/A</v>
      </c>
      <c r="W367" s="271"/>
      <c r="X367" s="271">
        <f t="shared" ca="1" si="73"/>
        <v>0</v>
      </c>
      <c r="Y367" s="271"/>
      <c r="Z367" s="271"/>
      <c r="AB367" s="273" t="str">
        <f t="shared" si="74"/>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72"/>
        <v/>
      </c>
      <c r="T368" s="222" t="str">
        <f ca="1">IF(B368="","",IF(ISERROR(MATCH($J368,SorP!$B$1:$B$6230,0)),"",INDIRECT("'SorP'!$A$"&amp;MATCH($J368,SorP!$B$1:$B$6230,0))))</f>
        <v/>
      </c>
      <c r="U368" s="238"/>
      <c r="V368" s="270" t="e">
        <f>IF(C368="",NA(),MATCH($B368&amp;$C368,'Smelter Look-up'!$J:$J,0))</f>
        <v>#N/A</v>
      </c>
      <c r="W368" s="271"/>
      <c r="X368" s="271">
        <f t="shared" ca="1" si="73"/>
        <v>0</v>
      </c>
      <c r="Y368" s="271"/>
      <c r="Z368" s="271"/>
      <c r="AB368" s="273" t="str">
        <f t="shared" si="74"/>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72"/>
        <v/>
      </c>
      <c r="T369" s="222" t="str">
        <f ca="1">IF(B369="","",IF(ISERROR(MATCH($J369,SorP!$B$1:$B$6230,0)),"",INDIRECT("'SorP'!$A$"&amp;MATCH($J369,SorP!$B$1:$B$6230,0))))</f>
        <v/>
      </c>
      <c r="U369" s="238"/>
      <c r="V369" s="270" t="e">
        <f>IF(C369="",NA(),MATCH($B369&amp;$C369,'Smelter Look-up'!$J:$J,0))</f>
        <v>#N/A</v>
      </c>
      <c r="W369" s="271"/>
      <c r="X369" s="271">
        <f t="shared" ca="1" si="73"/>
        <v>0</v>
      </c>
      <c r="Y369" s="271"/>
      <c r="Z369" s="271"/>
      <c r="AB369" s="273" t="str">
        <f t="shared" si="74"/>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72"/>
        <v/>
      </c>
      <c r="T370" s="222" t="str">
        <f ca="1">IF(B370="","",IF(ISERROR(MATCH($J370,SorP!$B$1:$B$6230,0)),"",INDIRECT("'SorP'!$A$"&amp;MATCH($J370,SorP!$B$1:$B$6230,0))))</f>
        <v/>
      </c>
      <c r="U370" s="238"/>
      <c r="V370" s="270" t="e">
        <f>IF(C370="",NA(),MATCH($B370&amp;$C370,'Smelter Look-up'!$J:$J,0))</f>
        <v>#N/A</v>
      </c>
      <c r="W370" s="271"/>
      <c r="X370" s="271">
        <f t="shared" ca="1" si="73"/>
        <v>0</v>
      </c>
      <c r="Y370" s="271"/>
      <c r="Z370" s="271"/>
      <c r="AB370" s="273" t="str">
        <f t="shared" si="74"/>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72"/>
        <v/>
      </c>
      <c r="T371" s="222" t="str">
        <f ca="1">IF(B371="","",IF(ISERROR(MATCH($J371,SorP!$B$1:$B$6230,0)),"",INDIRECT("'SorP'!$A$"&amp;MATCH($J371,SorP!$B$1:$B$6230,0))))</f>
        <v/>
      </c>
      <c r="U371" s="238"/>
      <c r="V371" s="270" t="e">
        <f>IF(C371="",NA(),MATCH($B371&amp;$C371,'Smelter Look-up'!$J:$J,0))</f>
        <v>#N/A</v>
      </c>
      <c r="W371" s="271"/>
      <c r="X371" s="271">
        <f t="shared" ca="1" si="73"/>
        <v>0</v>
      </c>
      <c r="Y371" s="271"/>
      <c r="Z371" s="271"/>
      <c r="AB371" s="273" t="str">
        <f t="shared" si="74"/>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72"/>
        <v/>
      </c>
      <c r="T372" s="222" t="str">
        <f ca="1">IF(B372="","",IF(ISERROR(MATCH($J372,SorP!$B$1:$B$6230,0)),"",INDIRECT("'SorP'!$A$"&amp;MATCH($J372,SorP!$B$1:$B$6230,0))))</f>
        <v/>
      </c>
      <c r="U372" s="238"/>
      <c r="V372" s="270" t="e">
        <f>IF(C372="",NA(),MATCH($B372&amp;$C372,'Smelter Look-up'!$J:$J,0))</f>
        <v>#N/A</v>
      </c>
      <c r="W372" s="271"/>
      <c r="X372" s="271">
        <f t="shared" ca="1" si="73"/>
        <v>0</v>
      </c>
      <c r="Y372" s="271"/>
      <c r="Z372" s="271"/>
      <c r="AB372" s="273" t="str">
        <f t="shared" si="74"/>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72"/>
        <v/>
      </c>
      <c r="T373" s="222" t="str">
        <f ca="1">IF(B373="","",IF(ISERROR(MATCH($J373,SorP!$B$1:$B$6230,0)),"",INDIRECT("'SorP'!$A$"&amp;MATCH($J373,SorP!$B$1:$B$6230,0))))</f>
        <v/>
      </c>
      <c r="U373" s="238"/>
      <c r="V373" s="270" t="e">
        <f>IF(C373="",NA(),MATCH($B373&amp;$C373,'Smelter Look-up'!$J:$J,0))</f>
        <v>#N/A</v>
      </c>
      <c r="W373" s="271"/>
      <c r="X373" s="271">
        <f t="shared" ca="1" si="73"/>
        <v>0</v>
      </c>
      <c r="Y373" s="271"/>
      <c r="Z373" s="271"/>
      <c r="AB373" s="273" t="str">
        <f t="shared" si="74"/>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72"/>
        <v/>
      </c>
      <c r="T374" s="222" t="str">
        <f ca="1">IF(B374="","",IF(ISERROR(MATCH($J374,SorP!$B$1:$B$6230,0)),"",INDIRECT("'SorP'!$A$"&amp;MATCH($J374,SorP!$B$1:$B$6230,0))))</f>
        <v/>
      </c>
      <c r="U374" s="238"/>
      <c r="V374" s="270" t="e">
        <f>IF(C374="",NA(),MATCH($B374&amp;$C374,'Smelter Look-up'!$J:$J,0))</f>
        <v>#N/A</v>
      </c>
      <c r="W374" s="271"/>
      <c r="X374" s="271">
        <f t="shared" ca="1" si="73"/>
        <v>0</v>
      </c>
      <c r="Y374" s="271"/>
      <c r="Z374" s="271"/>
      <c r="AB374" s="273" t="str">
        <f t="shared" si="74"/>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72"/>
        <v/>
      </c>
      <c r="T375" s="222" t="str">
        <f ca="1">IF(B375="","",IF(ISERROR(MATCH($J375,SorP!$B$1:$B$6230,0)),"",INDIRECT("'SorP'!$A$"&amp;MATCH($J375,SorP!$B$1:$B$6230,0))))</f>
        <v/>
      </c>
      <c r="U375" s="238"/>
      <c r="V375" s="270" t="e">
        <f>IF(C375="",NA(),MATCH($B375&amp;$C375,'Smelter Look-up'!$J:$J,0))</f>
        <v>#N/A</v>
      </c>
      <c r="W375" s="271"/>
      <c r="X375" s="271">
        <f t="shared" ca="1" si="73"/>
        <v>0</v>
      </c>
      <c r="Y375" s="271"/>
      <c r="Z375" s="271"/>
      <c r="AB375" s="273" t="str">
        <f t="shared" si="74"/>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72"/>
        <v/>
      </c>
      <c r="T376" s="222" t="str">
        <f ca="1">IF(B376="","",IF(ISERROR(MATCH($J376,SorP!$B$1:$B$6230,0)),"",INDIRECT("'SorP'!$A$"&amp;MATCH($J376,SorP!$B$1:$B$6230,0))))</f>
        <v/>
      </c>
      <c r="U376" s="238"/>
      <c r="V376" s="270" t="e">
        <f>IF(C376="",NA(),MATCH($B376&amp;$C376,'Smelter Look-up'!$J:$J,0))</f>
        <v>#N/A</v>
      </c>
      <c r="W376" s="271"/>
      <c r="X376" s="271">
        <f t="shared" ca="1" si="73"/>
        <v>0</v>
      </c>
      <c r="Y376" s="271"/>
      <c r="Z376" s="271"/>
      <c r="AB376" s="273" t="str">
        <f t="shared" si="74"/>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ref="S377:S407" ca="1" si="75">IF(B377="","",IF(ISERROR(MATCH($E377,CL,0)),"Unknown",INDIRECT("'C'!$A$"&amp;MATCH($E377,CL,0)+1)))</f>
        <v/>
      </c>
      <c r="T377" s="222" t="str">
        <f ca="1">IF(B377="","",IF(ISERROR(MATCH($J377,SorP!$B$1:$B$6230,0)),"",INDIRECT("'SorP'!$A$"&amp;MATCH($J377,SorP!$B$1:$B$6230,0))))</f>
        <v/>
      </c>
      <c r="U377" s="238"/>
      <c r="V377" s="270" t="e">
        <f>IF(C377="",NA(),MATCH($B377&amp;$C377,'Smelter Look-up'!$J:$J,0))</f>
        <v>#N/A</v>
      </c>
      <c r="W377" s="271"/>
      <c r="X377" s="271">
        <f t="shared" ref="X377:X407" ca="1" si="76">IF(AND(C377="Smelter not listed",OR(LEN(D377)=0,LEN(E377)=0)),1,0)</f>
        <v>0</v>
      </c>
      <c r="Y377" s="271"/>
      <c r="Z377" s="271"/>
      <c r="AB377" s="273" t="str">
        <f t="shared" ref="AB377:AB407" si="77">B377&amp;C377</f>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75"/>
        <v/>
      </c>
      <c r="T378" s="222" t="str">
        <f ca="1">IF(B378="","",IF(ISERROR(MATCH($J378,SorP!$B$1:$B$6230,0)),"",INDIRECT("'SorP'!$A$"&amp;MATCH($J378,SorP!$B$1:$B$6230,0))))</f>
        <v/>
      </c>
      <c r="U378" s="238"/>
      <c r="V378" s="270" t="e">
        <f>IF(C378="",NA(),MATCH($B378&amp;$C378,'Smelter Look-up'!$J:$J,0))</f>
        <v>#N/A</v>
      </c>
      <c r="W378" s="271"/>
      <c r="X378" s="271">
        <f t="shared" ca="1" si="76"/>
        <v>0</v>
      </c>
      <c r="Y378" s="271"/>
      <c r="Z378" s="271"/>
      <c r="AB378" s="273" t="str">
        <f t="shared" si="77"/>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75"/>
        <v/>
      </c>
      <c r="T379" s="222" t="str">
        <f ca="1">IF(B379="","",IF(ISERROR(MATCH($J379,SorP!$B$1:$B$6230,0)),"",INDIRECT("'SorP'!$A$"&amp;MATCH($J379,SorP!$B$1:$B$6230,0))))</f>
        <v/>
      </c>
      <c r="U379" s="238"/>
      <c r="V379" s="270" t="e">
        <f>IF(C379="",NA(),MATCH($B379&amp;$C379,'Smelter Look-up'!$J:$J,0))</f>
        <v>#N/A</v>
      </c>
      <c r="W379" s="271"/>
      <c r="X379" s="271">
        <f t="shared" ca="1" si="76"/>
        <v>0</v>
      </c>
      <c r="Y379" s="271"/>
      <c r="Z379" s="271"/>
      <c r="AB379" s="273" t="str">
        <f t="shared" si="77"/>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75"/>
        <v/>
      </c>
      <c r="T380" s="222" t="str">
        <f ca="1">IF(B380="","",IF(ISERROR(MATCH($J380,SorP!$B$1:$B$6230,0)),"",INDIRECT("'SorP'!$A$"&amp;MATCH($J380,SorP!$B$1:$B$6230,0))))</f>
        <v/>
      </c>
      <c r="U380" s="238"/>
      <c r="V380" s="270" t="e">
        <f>IF(C380="",NA(),MATCH($B380&amp;$C380,'Smelter Look-up'!$J:$J,0))</f>
        <v>#N/A</v>
      </c>
      <c r="W380" s="271"/>
      <c r="X380" s="271">
        <f t="shared" ca="1" si="76"/>
        <v>0</v>
      </c>
      <c r="Y380" s="271"/>
      <c r="Z380" s="271"/>
      <c r="AB380" s="273" t="str">
        <f t="shared" si="77"/>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75"/>
        <v/>
      </c>
      <c r="T381" s="222" t="str">
        <f ca="1">IF(B381="","",IF(ISERROR(MATCH($J381,SorP!$B$1:$B$6230,0)),"",INDIRECT("'SorP'!$A$"&amp;MATCH($J381,SorP!$B$1:$B$6230,0))))</f>
        <v/>
      </c>
      <c r="U381" s="238"/>
      <c r="V381" s="270" t="e">
        <f>IF(C381="",NA(),MATCH($B381&amp;$C381,'Smelter Look-up'!$J:$J,0))</f>
        <v>#N/A</v>
      </c>
      <c r="W381" s="271"/>
      <c r="X381" s="271">
        <f t="shared" ca="1" si="76"/>
        <v>0</v>
      </c>
      <c r="Y381" s="271"/>
      <c r="Z381" s="271"/>
      <c r="AB381" s="273" t="str">
        <f t="shared" si="77"/>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75"/>
        <v/>
      </c>
      <c r="T382" s="222" t="str">
        <f ca="1">IF(B382="","",IF(ISERROR(MATCH($J382,SorP!$B$1:$B$6230,0)),"",INDIRECT("'SorP'!$A$"&amp;MATCH($J382,SorP!$B$1:$B$6230,0))))</f>
        <v/>
      </c>
      <c r="U382" s="238"/>
      <c r="V382" s="270" t="e">
        <f>IF(C382="",NA(),MATCH($B382&amp;$C382,'Smelter Look-up'!$J:$J,0))</f>
        <v>#N/A</v>
      </c>
      <c r="W382" s="271"/>
      <c r="X382" s="271">
        <f t="shared" ca="1" si="76"/>
        <v>0</v>
      </c>
      <c r="Y382" s="271"/>
      <c r="Z382" s="271"/>
      <c r="AB382" s="273" t="str">
        <f t="shared" si="77"/>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75"/>
        <v/>
      </c>
      <c r="T383" s="222" t="str">
        <f ca="1">IF(B383="","",IF(ISERROR(MATCH($J383,SorP!$B$1:$B$6230,0)),"",INDIRECT("'SorP'!$A$"&amp;MATCH($J383,SorP!$B$1:$B$6230,0))))</f>
        <v/>
      </c>
      <c r="U383" s="238"/>
      <c r="V383" s="270" t="e">
        <f>IF(C383="",NA(),MATCH($B383&amp;$C383,'Smelter Look-up'!$J:$J,0))</f>
        <v>#N/A</v>
      </c>
      <c r="W383" s="271"/>
      <c r="X383" s="271">
        <f t="shared" ca="1" si="76"/>
        <v>0</v>
      </c>
      <c r="Y383" s="271"/>
      <c r="Z383" s="271"/>
      <c r="AB383" s="273" t="str">
        <f t="shared" si="77"/>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75"/>
        <v/>
      </c>
      <c r="T384" s="222" t="str">
        <f ca="1">IF(B384="","",IF(ISERROR(MATCH($J384,SorP!$B$1:$B$6230,0)),"",INDIRECT("'SorP'!$A$"&amp;MATCH($J384,SorP!$B$1:$B$6230,0))))</f>
        <v/>
      </c>
      <c r="U384" s="238"/>
      <c r="V384" s="270" t="e">
        <f>IF(C384="",NA(),MATCH($B384&amp;$C384,'Smelter Look-up'!$J:$J,0))</f>
        <v>#N/A</v>
      </c>
      <c r="W384" s="271"/>
      <c r="X384" s="271">
        <f t="shared" ca="1" si="76"/>
        <v>0</v>
      </c>
      <c r="Y384" s="271"/>
      <c r="Z384" s="271"/>
      <c r="AB384" s="273" t="str">
        <f t="shared" si="77"/>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75"/>
        <v/>
      </c>
      <c r="T385" s="222" t="str">
        <f ca="1">IF(B385="","",IF(ISERROR(MATCH($J385,SorP!$B$1:$B$6230,0)),"",INDIRECT("'SorP'!$A$"&amp;MATCH($J385,SorP!$B$1:$B$6230,0))))</f>
        <v/>
      </c>
      <c r="U385" s="238"/>
      <c r="V385" s="270" t="e">
        <f>IF(C385="",NA(),MATCH($B385&amp;$C385,'Smelter Look-up'!$J:$J,0))</f>
        <v>#N/A</v>
      </c>
      <c r="W385" s="271"/>
      <c r="X385" s="271">
        <f t="shared" ca="1" si="76"/>
        <v>0</v>
      </c>
      <c r="Y385" s="271"/>
      <c r="Z385" s="271"/>
      <c r="AB385" s="273" t="str">
        <f t="shared" si="77"/>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75"/>
        <v/>
      </c>
      <c r="T386" s="222" t="str">
        <f ca="1">IF(B386="","",IF(ISERROR(MATCH($J386,SorP!$B$1:$B$6230,0)),"",INDIRECT("'SorP'!$A$"&amp;MATCH($J386,SorP!$B$1:$B$6230,0))))</f>
        <v/>
      </c>
      <c r="U386" s="238"/>
      <c r="V386" s="270" t="e">
        <f>IF(C386="",NA(),MATCH($B386&amp;$C386,'Smelter Look-up'!$J:$J,0))</f>
        <v>#N/A</v>
      </c>
      <c r="W386" s="271"/>
      <c r="X386" s="271">
        <f t="shared" ca="1" si="76"/>
        <v>0</v>
      </c>
      <c r="Y386" s="271"/>
      <c r="Z386" s="271"/>
      <c r="AB386" s="273" t="str">
        <f t="shared" si="77"/>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75"/>
        <v/>
      </c>
      <c r="T387" s="222" t="str">
        <f ca="1">IF(B387="","",IF(ISERROR(MATCH($J387,SorP!$B$1:$B$6230,0)),"",INDIRECT("'SorP'!$A$"&amp;MATCH($J387,SorP!$B$1:$B$6230,0))))</f>
        <v/>
      </c>
      <c r="U387" s="238"/>
      <c r="V387" s="270" t="e">
        <f>IF(C387="",NA(),MATCH($B387&amp;$C387,'Smelter Look-up'!$J:$J,0))</f>
        <v>#N/A</v>
      </c>
      <c r="W387" s="271"/>
      <c r="X387" s="271">
        <f t="shared" ca="1" si="76"/>
        <v>0</v>
      </c>
      <c r="Y387" s="271"/>
      <c r="Z387" s="271"/>
      <c r="AB387" s="273" t="str">
        <f t="shared" si="77"/>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75"/>
        <v/>
      </c>
      <c r="T388" s="222" t="str">
        <f ca="1">IF(B388="","",IF(ISERROR(MATCH($J388,SorP!$B$1:$B$6230,0)),"",INDIRECT("'SorP'!$A$"&amp;MATCH($J388,SorP!$B$1:$B$6230,0))))</f>
        <v/>
      </c>
      <c r="U388" s="238"/>
      <c r="V388" s="270" t="e">
        <f>IF(C388="",NA(),MATCH($B388&amp;$C388,'Smelter Look-up'!$J:$J,0))</f>
        <v>#N/A</v>
      </c>
      <c r="W388" s="271"/>
      <c r="X388" s="271">
        <f t="shared" ca="1" si="76"/>
        <v>0</v>
      </c>
      <c r="Y388" s="271"/>
      <c r="Z388" s="271"/>
      <c r="AB388" s="273" t="str">
        <f t="shared" si="77"/>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ca="1" si="75"/>
        <v/>
      </c>
      <c r="T389" s="222" t="str">
        <f ca="1">IF(B389="","",IF(ISERROR(MATCH($J389,SorP!$B$1:$B$6230,0)),"",INDIRECT("'SorP'!$A$"&amp;MATCH($J389,SorP!$B$1:$B$6230,0))))</f>
        <v/>
      </c>
      <c r="U389" s="238"/>
      <c r="V389" s="270" t="e">
        <f>IF(C389="",NA(),MATCH($B389&amp;$C389,'Smelter Look-up'!$J:$J,0))</f>
        <v>#N/A</v>
      </c>
      <c r="W389" s="271"/>
      <c r="X389" s="271">
        <f t="shared" ca="1" si="76"/>
        <v>0</v>
      </c>
      <c r="Y389" s="271"/>
      <c r="Z389" s="271"/>
      <c r="AB389" s="273" t="str">
        <f t="shared" si="77"/>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ca="1" si="75"/>
        <v/>
      </c>
      <c r="T390" s="222" t="str">
        <f ca="1">IF(B390="","",IF(ISERROR(MATCH($J390,SorP!$B$1:$B$6230,0)),"",INDIRECT("'SorP'!$A$"&amp;MATCH($J390,SorP!$B$1:$B$6230,0))))</f>
        <v/>
      </c>
      <c r="U390" s="238"/>
      <c r="V390" s="270" t="e">
        <f>IF(C390="",NA(),MATCH($B390&amp;$C390,'Smelter Look-up'!$J:$J,0))</f>
        <v>#N/A</v>
      </c>
      <c r="W390" s="271"/>
      <c r="X390" s="271">
        <f t="shared" ca="1" si="76"/>
        <v>0</v>
      </c>
      <c r="Y390" s="271"/>
      <c r="Z390" s="271"/>
      <c r="AB390" s="273" t="str">
        <f t="shared" si="77"/>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75"/>
        <v/>
      </c>
      <c r="T391" s="222" t="str">
        <f ca="1">IF(B391="","",IF(ISERROR(MATCH($J391,SorP!$B$1:$B$6230,0)),"",INDIRECT("'SorP'!$A$"&amp;MATCH($J391,SorP!$B$1:$B$6230,0))))</f>
        <v/>
      </c>
      <c r="U391" s="238"/>
      <c r="V391" s="270" t="e">
        <f>IF(C391="",NA(),MATCH($B391&amp;$C391,'Smelter Look-up'!$J:$J,0))</f>
        <v>#N/A</v>
      </c>
      <c r="W391" s="271"/>
      <c r="X391" s="271">
        <f t="shared" ca="1" si="76"/>
        <v>0</v>
      </c>
      <c r="Y391" s="271"/>
      <c r="Z391" s="271"/>
      <c r="AB391" s="273" t="str">
        <f t="shared" si="77"/>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75"/>
        <v/>
      </c>
      <c r="T392" s="222" t="str">
        <f ca="1">IF(B392="","",IF(ISERROR(MATCH($J392,SorP!$B$1:$B$6230,0)),"",INDIRECT("'SorP'!$A$"&amp;MATCH($J392,SorP!$B$1:$B$6230,0))))</f>
        <v/>
      </c>
      <c r="U392" s="238"/>
      <c r="V392" s="270" t="e">
        <f>IF(C392="",NA(),MATCH($B392&amp;$C392,'Smelter Look-up'!$J:$J,0))</f>
        <v>#N/A</v>
      </c>
      <c r="W392" s="271"/>
      <c r="X392" s="271">
        <f t="shared" ca="1" si="76"/>
        <v>0</v>
      </c>
      <c r="Y392" s="271"/>
      <c r="Z392" s="271"/>
      <c r="AB392" s="273" t="str">
        <f t="shared" si="77"/>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75"/>
        <v/>
      </c>
      <c r="T393" s="222" t="str">
        <f ca="1">IF(B393="","",IF(ISERROR(MATCH($J393,SorP!$B$1:$B$6230,0)),"",INDIRECT("'SorP'!$A$"&amp;MATCH($J393,SorP!$B$1:$B$6230,0))))</f>
        <v/>
      </c>
      <c r="U393" s="238"/>
      <c r="V393" s="270" t="e">
        <f>IF(C393="",NA(),MATCH($B393&amp;$C393,'Smelter Look-up'!$J:$J,0))</f>
        <v>#N/A</v>
      </c>
      <c r="W393" s="271"/>
      <c r="X393" s="271">
        <f t="shared" ca="1" si="76"/>
        <v>0</v>
      </c>
      <c r="Y393" s="271"/>
      <c r="Z393" s="271"/>
      <c r="AB393" s="273" t="str">
        <f t="shared" si="77"/>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75"/>
        <v/>
      </c>
      <c r="T394" s="222" t="str">
        <f ca="1">IF(B394="","",IF(ISERROR(MATCH($J394,SorP!$B$1:$B$6230,0)),"",INDIRECT("'SorP'!$A$"&amp;MATCH($J394,SorP!$B$1:$B$6230,0))))</f>
        <v/>
      </c>
      <c r="U394" s="238"/>
      <c r="V394" s="270" t="e">
        <f>IF(C394="",NA(),MATCH($B394&amp;$C394,'Smelter Look-up'!$J:$J,0))</f>
        <v>#N/A</v>
      </c>
      <c r="W394" s="271"/>
      <c r="X394" s="271">
        <f t="shared" ca="1" si="76"/>
        <v>0</v>
      </c>
      <c r="Y394" s="271"/>
      <c r="Z394" s="271"/>
      <c r="AB394" s="273" t="str">
        <f t="shared" si="77"/>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75"/>
        <v/>
      </c>
      <c r="T395" s="222" t="str">
        <f ca="1">IF(B395="","",IF(ISERROR(MATCH($J395,SorP!$B$1:$B$6230,0)),"",INDIRECT("'SorP'!$A$"&amp;MATCH($J395,SorP!$B$1:$B$6230,0))))</f>
        <v/>
      </c>
      <c r="U395" s="238"/>
      <c r="V395" s="270" t="e">
        <f>IF(C395="",NA(),MATCH($B395&amp;$C395,'Smelter Look-up'!$J:$J,0))</f>
        <v>#N/A</v>
      </c>
      <c r="W395" s="271"/>
      <c r="X395" s="271">
        <f t="shared" ca="1" si="76"/>
        <v>0</v>
      </c>
      <c r="Y395" s="271"/>
      <c r="Z395" s="271"/>
      <c r="AB395" s="273" t="str">
        <f t="shared" si="77"/>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75"/>
        <v/>
      </c>
      <c r="T396" s="222" t="str">
        <f ca="1">IF(B396="","",IF(ISERROR(MATCH($J396,SorP!$B$1:$B$6230,0)),"",INDIRECT("'SorP'!$A$"&amp;MATCH($J396,SorP!$B$1:$B$6230,0))))</f>
        <v/>
      </c>
      <c r="U396" s="238"/>
      <c r="V396" s="270" t="e">
        <f>IF(C396="",NA(),MATCH($B396&amp;$C396,'Smelter Look-up'!$J:$J,0))</f>
        <v>#N/A</v>
      </c>
      <c r="W396" s="271"/>
      <c r="X396" s="271">
        <f t="shared" ca="1" si="76"/>
        <v>0</v>
      </c>
      <c r="Y396" s="271"/>
      <c r="Z396" s="271"/>
      <c r="AB396" s="273" t="str">
        <f t="shared" si="77"/>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75"/>
        <v/>
      </c>
      <c r="T397" s="222" t="str">
        <f ca="1">IF(B397="","",IF(ISERROR(MATCH($J397,SorP!$B$1:$B$6230,0)),"",INDIRECT("'SorP'!$A$"&amp;MATCH($J397,SorP!$B$1:$B$6230,0))))</f>
        <v/>
      </c>
      <c r="U397" s="238"/>
      <c r="V397" s="270" t="e">
        <f>IF(C397="",NA(),MATCH($B397&amp;$C397,'Smelter Look-up'!$J:$J,0))</f>
        <v>#N/A</v>
      </c>
      <c r="W397" s="271"/>
      <c r="X397" s="271">
        <f t="shared" ca="1" si="76"/>
        <v>0</v>
      </c>
      <c r="Y397" s="271"/>
      <c r="Z397" s="271"/>
      <c r="AB397" s="273" t="str">
        <f t="shared" si="77"/>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75"/>
        <v/>
      </c>
      <c r="T398" s="222" t="str">
        <f ca="1">IF(B398="","",IF(ISERROR(MATCH($J398,SorP!$B$1:$B$6230,0)),"",INDIRECT("'SorP'!$A$"&amp;MATCH($J398,SorP!$B$1:$B$6230,0))))</f>
        <v/>
      </c>
      <c r="U398" s="238"/>
      <c r="V398" s="270" t="e">
        <f>IF(C398="",NA(),MATCH($B398&amp;$C398,'Smelter Look-up'!$J:$J,0))</f>
        <v>#N/A</v>
      </c>
      <c r="W398" s="271"/>
      <c r="X398" s="271">
        <f t="shared" ca="1" si="76"/>
        <v>0</v>
      </c>
      <c r="Y398" s="271"/>
      <c r="Z398" s="271"/>
      <c r="AB398" s="273" t="str">
        <f t="shared" si="77"/>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75"/>
        <v/>
      </c>
      <c r="T399" s="222" t="str">
        <f ca="1">IF(B399="","",IF(ISERROR(MATCH($J399,SorP!$B$1:$B$6230,0)),"",INDIRECT("'SorP'!$A$"&amp;MATCH($J399,SorP!$B$1:$B$6230,0))))</f>
        <v/>
      </c>
      <c r="U399" s="238"/>
      <c r="V399" s="270" t="e">
        <f>IF(C399="",NA(),MATCH($B399&amp;$C399,'Smelter Look-up'!$J:$J,0))</f>
        <v>#N/A</v>
      </c>
      <c r="W399" s="271"/>
      <c r="X399" s="271">
        <f t="shared" ca="1" si="76"/>
        <v>0</v>
      </c>
      <c r="Y399" s="271"/>
      <c r="Z399" s="271"/>
      <c r="AB399" s="273" t="str">
        <f t="shared" si="77"/>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75"/>
        <v/>
      </c>
      <c r="T400" s="222" t="str">
        <f ca="1">IF(B400="","",IF(ISERROR(MATCH($J400,SorP!$B$1:$B$6230,0)),"",INDIRECT("'SorP'!$A$"&amp;MATCH($J400,SorP!$B$1:$B$6230,0))))</f>
        <v/>
      </c>
      <c r="U400" s="238"/>
      <c r="V400" s="270" t="e">
        <f>IF(C400="",NA(),MATCH($B400&amp;$C400,'Smelter Look-up'!$J:$J,0))</f>
        <v>#N/A</v>
      </c>
      <c r="W400" s="271"/>
      <c r="X400" s="271">
        <f t="shared" ca="1" si="76"/>
        <v>0</v>
      </c>
      <c r="Y400" s="271"/>
      <c r="Z400" s="271"/>
      <c r="AB400" s="273" t="str">
        <f t="shared" si="77"/>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75"/>
        <v/>
      </c>
      <c r="T401" s="222" t="str">
        <f ca="1">IF(B401="","",IF(ISERROR(MATCH($J401,SorP!$B$1:$B$6230,0)),"",INDIRECT("'SorP'!$A$"&amp;MATCH($J401,SorP!$B$1:$B$6230,0))))</f>
        <v/>
      </c>
      <c r="U401" s="238"/>
      <c r="V401" s="270" t="e">
        <f>IF(C401="",NA(),MATCH($B401&amp;$C401,'Smelter Look-up'!$J:$J,0))</f>
        <v>#N/A</v>
      </c>
      <c r="W401" s="271"/>
      <c r="X401" s="271">
        <f t="shared" ca="1" si="76"/>
        <v>0</v>
      </c>
      <c r="Y401" s="271"/>
      <c r="Z401" s="271"/>
      <c r="AB401" s="273" t="str">
        <f t="shared" si="77"/>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75"/>
        <v/>
      </c>
      <c r="T402" s="222" t="str">
        <f ca="1">IF(B402="","",IF(ISERROR(MATCH($J402,SorP!$B$1:$B$6230,0)),"",INDIRECT("'SorP'!$A$"&amp;MATCH($J402,SorP!$B$1:$B$6230,0))))</f>
        <v/>
      </c>
      <c r="U402" s="238"/>
      <c r="V402" s="270" t="e">
        <f>IF(C402="",NA(),MATCH($B402&amp;$C402,'Smelter Look-up'!$J:$J,0))</f>
        <v>#N/A</v>
      </c>
      <c r="W402" s="271"/>
      <c r="X402" s="271">
        <f t="shared" ca="1" si="76"/>
        <v>0</v>
      </c>
      <c r="Y402" s="271"/>
      <c r="Z402" s="271"/>
      <c r="AB402" s="273" t="str">
        <f t="shared" si="77"/>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75"/>
        <v/>
      </c>
      <c r="T403" s="222" t="str">
        <f ca="1">IF(B403="","",IF(ISERROR(MATCH($J403,SorP!$B$1:$B$6230,0)),"",INDIRECT("'SorP'!$A$"&amp;MATCH($J403,SorP!$B$1:$B$6230,0))))</f>
        <v/>
      </c>
      <c r="U403" s="238"/>
      <c r="V403" s="270" t="e">
        <f>IF(C403="",NA(),MATCH($B403&amp;$C403,'Smelter Look-up'!$J:$J,0))</f>
        <v>#N/A</v>
      </c>
      <c r="W403" s="271"/>
      <c r="X403" s="271">
        <f t="shared" ca="1" si="76"/>
        <v>0</v>
      </c>
      <c r="Y403" s="271"/>
      <c r="Z403" s="271"/>
      <c r="AB403" s="273" t="str">
        <f t="shared" si="77"/>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75"/>
        <v/>
      </c>
      <c r="T404" s="222" t="str">
        <f ca="1">IF(B404="","",IF(ISERROR(MATCH($J404,SorP!$B$1:$B$6230,0)),"",INDIRECT("'SorP'!$A$"&amp;MATCH($J404,SorP!$B$1:$B$6230,0))))</f>
        <v/>
      </c>
      <c r="U404" s="238"/>
      <c r="V404" s="270" t="e">
        <f>IF(C404="",NA(),MATCH($B404&amp;$C404,'Smelter Look-up'!$J:$J,0))</f>
        <v>#N/A</v>
      </c>
      <c r="W404" s="271"/>
      <c r="X404" s="271">
        <f t="shared" ca="1" si="76"/>
        <v>0</v>
      </c>
      <c r="Y404" s="271"/>
      <c r="Z404" s="271"/>
      <c r="AB404" s="273" t="str">
        <f t="shared" si="77"/>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75"/>
        <v/>
      </c>
      <c r="T405" s="222" t="str">
        <f ca="1">IF(B405="","",IF(ISERROR(MATCH($J405,SorP!$B$1:$B$6230,0)),"",INDIRECT("'SorP'!$A$"&amp;MATCH($J405,SorP!$B$1:$B$6230,0))))</f>
        <v/>
      </c>
      <c r="U405" s="238"/>
      <c r="V405" s="270" t="e">
        <f>IF(C405="",NA(),MATCH($B405&amp;$C405,'Smelter Look-up'!$J:$J,0))</f>
        <v>#N/A</v>
      </c>
      <c r="W405" s="271"/>
      <c r="X405" s="271">
        <f t="shared" ca="1" si="76"/>
        <v>0</v>
      </c>
      <c r="Y405" s="271"/>
      <c r="Z405" s="271"/>
      <c r="AB405" s="273" t="str">
        <f t="shared" si="77"/>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75"/>
        <v/>
      </c>
      <c r="T406" s="222" t="str">
        <f ca="1">IF(B406="","",IF(ISERROR(MATCH($J406,SorP!$B$1:$B$6230,0)),"",INDIRECT("'SorP'!$A$"&amp;MATCH($J406,SorP!$B$1:$B$6230,0))))</f>
        <v/>
      </c>
      <c r="U406" s="238"/>
      <c r="V406" s="270" t="e">
        <f>IF(C406="",NA(),MATCH($B406&amp;$C406,'Smelter Look-up'!$J:$J,0))</f>
        <v>#N/A</v>
      </c>
      <c r="W406" s="271"/>
      <c r="X406" s="271">
        <f t="shared" ca="1" si="76"/>
        <v>0</v>
      </c>
      <c r="Y406" s="271"/>
      <c r="Z406" s="271"/>
      <c r="AB406" s="273" t="str">
        <f t="shared" si="77"/>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75"/>
        <v/>
      </c>
      <c r="T407" s="222" t="str">
        <f ca="1">IF(B407="","",IF(ISERROR(MATCH($J407,SorP!$B$1:$B$6230,0)),"",INDIRECT("'SorP'!$A$"&amp;MATCH($J407,SorP!$B$1:$B$6230,0))))</f>
        <v/>
      </c>
      <c r="U407" s="238"/>
      <c r="V407" s="270" t="e">
        <f>IF(C407="",NA(),MATCH($B407&amp;$C407,'Smelter Look-up'!$J:$J,0))</f>
        <v>#N/A</v>
      </c>
      <c r="W407" s="271"/>
      <c r="X407" s="271">
        <f t="shared" ca="1" si="76"/>
        <v>0</v>
      </c>
      <c r="Y407" s="271"/>
      <c r="Z407" s="271"/>
      <c r="AB407" s="273" t="str">
        <f t="shared" si="77"/>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ref="S408" ca="1" si="78">IF(B408="","",IF(ISERROR(MATCH($E408,CL,0)),"Unknown",INDIRECT("'C'!$A$"&amp;MATCH($E408,CL,0)+1)))</f>
        <v/>
      </c>
      <c r="T408" s="222" t="str">
        <f ca="1">IF(B408="","",IF(ISERROR(MATCH($J408,SorP!$B$1:$B$6230,0)),"",INDIRECT("'SorP'!$A$"&amp;MATCH($J408,SorP!$B$1:$B$6230,0))))</f>
        <v/>
      </c>
      <c r="U408" s="238"/>
      <c r="V408" s="270" t="e">
        <f>IF(C408="",NA(),MATCH($B408&amp;$C408,'Smelter Look-up'!$J:$J,0))</f>
        <v>#N/A</v>
      </c>
      <c r="W408" s="271"/>
      <c r="X408" s="271">
        <f t="shared" ref="X408" ca="1" si="79">IF(AND(C408="Smelter not listed",OR(LEN(D408)=0,LEN(E408)=0)),1,0)</f>
        <v>0</v>
      </c>
      <c r="Y408" s="271"/>
      <c r="Z408" s="271"/>
      <c r="AB408" s="273" t="str">
        <f t="shared" ref="AB408" si="80">B408&amp;C408</f>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ref="S409:S440" ca="1" si="81">IF(B409="","",IF(ISERROR(MATCH($E409,CL,0)),"Unknown",INDIRECT("'C'!$A$"&amp;MATCH($E409,CL,0)+1)))</f>
        <v/>
      </c>
      <c r="T409" s="222" t="str">
        <f ca="1">IF(B409="","",IF(ISERROR(MATCH($J409,SorP!$B$1:$B$6230,0)),"",INDIRECT("'SorP'!$A$"&amp;MATCH($J409,SorP!$B$1:$B$6230,0))))</f>
        <v/>
      </c>
      <c r="U409" s="238"/>
      <c r="V409" s="270" t="e">
        <f>IF(C409="",NA(),MATCH($B409&amp;$C409,'Smelter Look-up'!$J:$J,0))</f>
        <v>#N/A</v>
      </c>
      <c r="W409" s="271"/>
      <c r="X409" s="271">
        <f t="shared" ref="X409:X440" ca="1" si="82">IF(AND(C409="Smelter not listed",OR(LEN(D409)=0,LEN(E409)=0)),1,0)</f>
        <v>0</v>
      </c>
      <c r="Y409" s="271"/>
      <c r="Z409" s="271"/>
      <c r="AB409" s="273" t="str">
        <f t="shared" ref="AB409:AB440" si="83">B409&amp;C409</f>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81"/>
        <v/>
      </c>
      <c r="T410" s="222" t="str">
        <f ca="1">IF(B410="","",IF(ISERROR(MATCH($J410,SorP!$B$1:$B$6230,0)),"",INDIRECT("'SorP'!$A$"&amp;MATCH($J410,SorP!$B$1:$B$6230,0))))</f>
        <v/>
      </c>
      <c r="U410" s="238"/>
      <c r="V410" s="270" t="e">
        <f>IF(C410="",NA(),MATCH($B410&amp;$C410,'Smelter Look-up'!$J:$J,0))</f>
        <v>#N/A</v>
      </c>
      <c r="W410" s="271"/>
      <c r="X410" s="271">
        <f t="shared" ca="1" si="82"/>
        <v>0</v>
      </c>
      <c r="Y410" s="271"/>
      <c r="Z410" s="271"/>
      <c r="AB410" s="273" t="str">
        <f t="shared" si="83"/>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81"/>
        <v/>
      </c>
      <c r="T411" s="222" t="str">
        <f ca="1">IF(B411="","",IF(ISERROR(MATCH($J411,SorP!$B$1:$B$6230,0)),"",INDIRECT("'SorP'!$A$"&amp;MATCH($J411,SorP!$B$1:$B$6230,0))))</f>
        <v/>
      </c>
      <c r="U411" s="238"/>
      <c r="V411" s="270" t="e">
        <f>IF(C411="",NA(),MATCH($B411&amp;$C411,'Smelter Look-up'!$J:$J,0))</f>
        <v>#N/A</v>
      </c>
      <c r="W411" s="271"/>
      <c r="X411" s="271">
        <f t="shared" ca="1" si="82"/>
        <v>0</v>
      </c>
      <c r="Y411" s="271"/>
      <c r="Z411" s="271"/>
      <c r="AB411" s="273" t="str">
        <f t="shared" si="83"/>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81"/>
        <v/>
      </c>
      <c r="T412" s="222" t="str">
        <f ca="1">IF(B412="","",IF(ISERROR(MATCH($J412,SorP!$B$1:$B$6230,0)),"",INDIRECT("'SorP'!$A$"&amp;MATCH($J412,SorP!$B$1:$B$6230,0))))</f>
        <v/>
      </c>
      <c r="U412" s="238"/>
      <c r="V412" s="270" t="e">
        <f>IF(C412="",NA(),MATCH($B412&amp;$C412,'Smelter Look-up'!$J:$J,0))</f>
        <v>#N/A</v>
      </c>
      <c r="W412" s="271"/>
      <c r="X412" s="271">
        <f t="shared" ca="1" si="82"/>
        <v>0</v>
      </c>
      <c r="Y412" s="271"/>
      <c r="Z412" s="271"/>
      <c r="AB412" s="273" t="str">
        <f t="shared" si="83"/>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81"/>
        <v/>
      </c>
      <c r="T413" s="222" t="str">
        <f ca="1">IF(B413="","",IF(ISERROR(MATCH($J413,SorP!$B$1:$B$6230,0)),"",INDIRECT("'SorP'!$A$"&amp;MATCH($J413,SorP!$B$1:$B$6230,0))))</f>
        <v/>
      </c>
      <c r="U413" s="238"/>
      <c r="V413" s="270" t="e">
        <f>IF(C413="",NA(),MATCH($B413&amp;$C413,'Smelter Look-up'!$J:$J,0))</f>
        <v>#N/A</v>
      </c>
      <c r="W413" s="271"/>
      <c r="X413" s="271">
        <f t="shared" ca="1" si="82"/>
        <v>0</v>
      </c>
      <c r="Y413" s="271"/>
      <c r="Z413" s="271"/>
      <c r="AB413" s="273" t="str">
        <f t="shared" si="83"/>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81"/>
        <v/>
      </c>
      <c r="T414" s="222" t="str">
        <f ca="1">IF(B414="","",IF(ISERROR(MATCH($J414,SorP!$B$1:$B$6230,0)),"",INDIRECT("'SorP'!$A$"&amp;MATCH($J414,SorP!$B$1:$B$6230,0))))</f>
        <v/>
      </c>
      <c r="U414" s="238"/>
      <c r="V414" s="270" t="e">
        <f>IF(C414="",NA(),MATCH($B414&amp;$C414,'Smelter Look-up'!$J:$J,0))</f>
        <v>#N/A</v>
      </c>
      <c r="W414" s="271"/>
      <c r="X414" s="271">
        <f t="shared" ca="1" si="82"/>
        <v>0</v>
      </c>
      <c r="Y414" s="271"/>
      <c r="Z414" s="271"/>
      <c r="AB414" s="273" t="str">
        <f t="shared" si="83"/>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81"/>
        <v/>
      </c>
      <c r="T415" s="222" t="str">
        <f ca="1">IF(B415="","",IF(ISERROR(MATCH($J415,SorP!$B$1:$B$6230,0)),"",INDIRECT("'SorP'!$A$"&amp;MATCH($J415,SorP!$B$1:$B$6230,0))))</f>
        <v/>
      </c>
      <c r="U415" s="238"/>
      <c r="V415" s="270" t="e">
        <f>IF(C415="",NA(),MATCH($B415&amp;$C415,'Smelter Look-up'!$J:$J,0))</f>
        <v>#N/A</v>
      </c>
      <c r="W415" s="271"/>
      <c r="X415" s="271">
        <f t="shared" ca="1" si="82"/>
        <v>0</v>
      </c>
      <c r="Y415" s="271"/>
      <c r="Z415" s="271"/>
      <c r="AB415" s="273" t="str">
        <f t="shared" si="83"/>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81"/>
        <v/>
      </c>
      <c r="T416" s="222" t="str">
        <f ca="1">IF(B416="","",IF(ISERROR(MATCH($J416,SorP!$B$1:$B$6230,0)),"",INDIRECT("'SorP'!$A$"&amp;MATCH($J416,SorP!$B$1:$B$6230,0))))</f>
        <v/>
      </c>
      <c r="U416" s="238"/>
      <c r="V416" s="270" t="e">
        <f>IF(C416="",NA(),MATCH($B416&amp;$C416,'Smelter Look-up'!$J:$J,0))</f>
        <v>#N/A</v>
      </c>
      <c r="W416" s="271"/>
      <c r="X416" s="271">
        <f t="shared" ca="1" si="82"/>
        <v>0</v>
      </c>
      <c r="Y416" s="271"/>
      <c r="Z416" s="271"/>
      <c r="AB416" s="273" t="str">
        <f t="shared" si="83"/>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81"/>
        <v/>
      </c>
      <c r="T417" s="222" t="str">
        <f ca="1">IF(B417="","",IF(ISERROR(MATCH($J417,SorP!$B$1:$B$6230,0)),"",INDIRECT("'SorP'!$A$"&amp;MATCH($J417,SorP!$B$1:$B$6230,0))))</f>
        <v/>
      </c>
      <c r="U417" s="238"/>
      <c r="V417" s="270" t="e">
        <f>IF(C417="",NA(),MATCH($B417&amp;$C417,'Smelter Look-up'!$J:$J,0))</f>
        <v>#N/A</v>
      </c>
      <c r="W417" s="271"/>
      <c r="X417" s="271">
        <f t="shared" ca="1" si="82"/>
        <v>0</v>
      </c>
      <c r="Y417" s="271"/>
      <c r="Z417" s="271"/>
      <c r="AB417" s="273" t="str">
        <f t="shared" si="83"/>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81"/>
        <v/>
      </c>
      <c r="T418" s="222" t="str">
        <f ca="1">IF(B418="","",IF(ISERROR(MATCH($J418,SorP!$B$1:$B$6230,0)),"",INDIRECT("'SorP'!$A$"&amp;MATCH($J418,SorP!$B$1:$B$6230,0))))</f>
        <v/>
      </c>
      <c r="U418" s="238"/>
      <c r="V418" s="270" t="e">
        <f>IF(C418="",NA(),MATCH($B418&amp;$C418,'Smelter Look-up'!$J:$J,0))</f>
        <v>#N/A</v>
      </c>
      <c r="W418" s="271"/>
      <c r="X418" s="271">
        <f t="shared" ca="1" si="82"/>
        <v>0</v>
      </c>
      <c r="Y418" s="271"/>
      <c r="Z418" s="271"/>
      <c r="AB418" s="273" t="str">
        <f t="shared" si="83"/>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81"/>
        <v/>
      </c>
      <c r="T419" s="222" t="str">
        <f ca="1">IF(B419="","",IF(ISERROR(MATCH($J419,SorP!$B$1:$B$6230,0)),"",INDIRECT("'SorP'!$A$"&amp;MATCH($J419,SorP!$B$1:$B$6230,0))))</f>
        <v/>
      </c>
      <c r="U419" s="238"/>
      <c r="V419" s="270" t="e">
        <f>IF(C419="",NA(),MATCH($B419&amp;$C419,'Smelter Look-up'!$J:$J,0))</f>
        <v>#N/A</v>
      </c>
      <c r="W419" s="271"/>
      <c r="X419" s="271">
        <f t="shared" ca="1" si="82"/>
        <v>0</v>
      </c>
      <c r="Y419" s="271"/>
      <c r="Z419" s="271"/>
      <c r="AB419" s="273" t="str">
        <f t="shared" si="83"/>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81"/>
        <v/>
      </c>
      <c r="T420" s="222" t="str">
        <f ca="1">IF(B420="","",IF(ISERROR(MATCH($J420,SorP!$B$1:$B$6230,0)),"",INDIRECT("'SorP'!$A$"&amp;MATCH($J420,SorP!$B$1:$B$6230,0))))</f>
        <v/>
      </c>
      <c r="U420" s="238"/>
      <c r="V420" s="270" t="e">
        <f>IF(C420="",NA(),MATCH($B420&amp;$C420,'Smelter Look-up'!$J:$J,0))</f>
        <v>#N/A</v>
      </c>
      <c r="W420" s="271"/>
      <c r="X420" s="271">
        <f t="shared" ca="1" si="82"/>
        <v>0</v>
      </c>
      <c r="Y420" s="271"/>
      <c r="Z420" s="271"/>
      <c r="AB420" s="273" t="str">
        <f t="shared" si="83"/>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81"/>
        <v/>
      </c>
      <c r="T421" s="222" t="str">
        <f ca="1">IF(B421="","",IF(ISERROR(MATCH($J421,SorP!$B$1:$B$6230,0)),"",INDIRECT("'SorP'!$A$"&amp;MATCH($J421,SorP!$B$1:$B$6230,0))))</f>
        <v/>
      </c>
      <c r="U421" s="238"/>
      <c r="V421" s="270" t="e">
        <f>IF(C421="",NA(),MATCH($B421&amp;$C421,'Smelter Look-up'!$J:$J,0))</f>
        <v>#N/A</v>
      </c>
      <c r="W421" s="271"/>
      <c r="X421" s="271">
        <f t="shared" ca="1" si="82"/>
        <v>0</v>
      </c>
      <c r="Y421" s="271"/>
      <c r="Z421" s="271"/>
      <c r="AB421" s="273" t="str">
        <f t="shared" si="83"/>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ca="1" si="81"/>
        <v/>
      </c>
      <c r="T422" s="222" t="str">
        <f ca="1">IF(B422="","",IF(ISERROR(MATCH($J422,SorP!$B$1:$B$6230,0)),"",INDIRECT("'SorP'!$A$"&amp;MATCH($J422,SorP!$B$1:$B$6230,0))))</f>
        <v/>
      </c>
      <c r="U422" s="238"/>
      <c r="V422" s="270" t="e">
        <f>IF(C422="",NA(),MATCH($B422&amp;$C422,'Smelter Look-up'!$J:$J,0))</f>
        <v>#N/A</v>
      </c>
      <c r="W422" s="271"/>
      <c r="X422" s="271">
        <f t="shared" ca="1" si="82"/>
        <v>0</v>
      </c>
      <c r="Y422" s="271"/>
      <c r="Z422" s="271"/>
      <c r="AB422" s="273" t="str">
        <f t="shared" si="83"/>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81"/>
        <v/>
      </c>
      <c r="T423" s="222" t="str">
        <f ca="1">IF(B423="","",IF(ISERROR(MATCH($J423,SorP!$B$1:$B$6230,0)),"",INDIRECT("'SorP'!$A$"&amp;MATCH($J423,SorP!$B$1:$B$6230,0))))</f>
        <v/>
      </c>
      <c r="U423" s="238"/>
      <c r="V423" s="270" t="e">
        <f>IF(C423="",NA(),MATCH($B423&amp;$C423,'Smelter Look-up'!$J:$J,0))</f>
        <v>#N/A</v>
      </c>
      <c r="W423" s="271"/>
      <c r="X423" s="271">
        <f t="shared" ca="1" si="82"/>
        <v>0</v>
      </c>
      <c r="Y423" s="271"/>
      <c r="Z423" s="271"/>
      <c r="AB423" s="273" t="str">
        <f t="shared" si="83"/>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81"/>
        <v/>
      </c>
      <c r="T424" s="222" t="str">
        <f ca="1">IF(B424="","",IF(ISERROR(MATCH($J424,SorP!$B$1:$B$6230,0)),"",INDIRECT("'SorP'!$A$"&amp;MATCH($J424,SorP!$B$1:$B$6230,0))))</f>
        <v/>
      </c>
      <c r="U424" s="238"/>
      <c r="V424" s="270" t="e">
        <f>IF(C424="",NA(),MATCH($B424&amp;$C424,'Smelter Look-up'!$J:$J,0))</f>
        <v>#N/A</v>
      </c>
      <c r="W424" s="271"/>
      <c r="X424" s="271">
        <f t="shared" ca="1" si="82"/>
        <v>0</v>
      </c>
      <c r="Y424" s="271"/>
      <c r="Z424" s="271"/>
      <c r="AB424" s="273" t="str">
        <f t="shared" si="83"/>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81"/>
        <v/>
      </c>
      <c r="T425" s="222" t="str">
        <f ca="1">IF(B425="","",IF(ISERROR(MATCH($J425,SorP!$B$1:$B$6230,0)),"",INDIRECT("'SorP'!$A$"&amp;MATCH($J425,SorP!$B$1:$B$6230,0))))</f>
        <v/>
      </c>
      <c r="U425" s="238"/>
      <c r="V425" s="270" t="e">
        <f>IF(C425="",NA(),MATCH($B425&amp;$C425,'Smelter Look-up'!$J:$J,0))</f>
        <v>#N/A</v>
      </c>
      <c r="W425" s="271"/>
      <c r="X425" s="271">
        <f t="shared" ca="1" si="82"/>
        <v>0</v>
      </c>
      <c r="Y425" s="271"/>
      <c r="Z425" s="271"/>
      <c r="AB425" s="273" t="str">
        <f t="shared" si="83"/>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81"/>
        <v/>
      </c>
      <c r="T426" s="222" t="str">
        <f ca="1">IF(B426="","",IF(ISERROR(MATCH($J426,SorP!$B$1:$B$6230,0)),"",INDIRECT("'SorP'!$A$"&amp;MATCH($J426,SorP!$B$1:$B$6230,0))))</f>
        <v/>
      </c>
      <c r="U426" s="238"/>
      <c r="V426" s="270" t="e">
        <f>IF(C426="",NA(),MATCH($B426&amp;$C426,'Smelter Look-up'!$J:$J,0))</f>
        <v>#N/A</v>
      </c>
      <c r="W426" s="271"/>
      <c r="X426" s="271">
        <f t="shared" ca="1" si="82"/>
        <v>0</v>
      </c>
      <c r="Y426" s="271"/>
      <c r="Z426" s="271"/>
      <c r="AB426" s="273" t="str">
        <f t="shared" si="83"/>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81"/>
        <v/>
      </c>
      <c r="T427" s="222" t="str">
        <f ca="1">IF(B427="","",IF(ISERROR(MATCH($J427,SorP!$B$1:$B$6230,0)),"",INDIRECT("'SorP'!$A$"&amp;MATCH($J427,SorP!$B$1:$B$6230,0))))</f>
        <v/>
      </c>
      <c r="U427" s="238"/>
      <c r="V427" s="270" t="e">
        <f>IF(C427="",NA(),MATCH($B427&amp;$C427,'Smelter Look-up'!$J:$J,0))</f>
        <v>#N/A</v>
      </c>
      <c r="W427" s="271"/>
      <c r="X427" s="271">
        <f t="shared" ca="1" si="82"/>
        <v>0</v>
      </c>
      <c r="Y427" s="271"/>
      <c r="Z427" s="271"/>
      <c r="AB427" s="273" t="str">
        <f t="shared" si="83"/>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81"/>
        <v/>
      </c>
      <c r="T428" s="222" t="str">
        <f ca="1">IF(B428="","",IF(ISERROR(MATCH($J428,SorP!$B$1:$B$6230,0)),"",INDIRECT("'SorP'!$A$"&amp;MATCH($J428,SorP!$B$1:$B$6230,0))))</f>
        <v/>
      </c>
      <c r="U428" s="238"/>
      <c r="V428" s="270" t="e">
        <f>IF(C428="",NA(),MATCH($B428&amp;$C428,'Smelter Look-up'!$J:$J,0))</f>
        <v>#N/A</v>
      </c>
      <c r="W428" s="271"/>
      <c r="X428" s="271">
        <f t="shared" ca="1" si="82"/>
        <v>0</v>
      </c>
      <c r="Y428" s="271"/>
      <c r="Z428" s="271"/>
      <c r="AB428" s="273" t="str">
        <f t="shared" si="83"/>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81"/>
        <v/>
      </c>
      <c r="T429" s="222" t="str">
        <f ca="1">IF(B429="","",IF(ISERROR(MATCH($J429,SorP!$B$1:$B$6230,0)),"",INDIRECT("'SorP'!$A$"&amp;MATCH($J429,SorP!$B$1:$B$6230,0))))</f>
        <v/>
      </c>
      <c r="U429" s="238"/>
      <c r="V429" s="270" t="e">
        <f>IF(C429="",NA(),MATCH($B429&amp;$C429,'Smelter Look-up'!$J:$J,0))</f>
        <v>#N/A</v>
      </c>
      <c r="W429" s="271"/>
      <c r="X429" s="271">
        <f t="shared" ca="1" si="82"/>
        <v>0</v>
      </c>
      <c r="Y429" s="271"/>
      <c r="Z429" s="271"/>
      <c r="AB429" s="273" t="str">
        <f t="shared" si="83"/>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81"/>
        <v/>
      </c>
      <c r="T430" s="222" t="str">
        <f ca="1">IF(B430="","",IF(ISERROR(MATCH($J430,SorP!$B$1:$B$6230,0)),"",INDIRECT("'SorP'!$A$"&amp;MATCH($J430,SorP!$B$1:$B$6230,0))))</f>
        <v/>
      </c>
      <c r="U430" s="238"/>
      <c r="V430" s="270" t="e">
        <f>IF(C430="",NA(),MATCH($B430&amp;$C430,'Smelter Look-up'!$J:$J,0))</f>
        <v>#N/A</v>
      </c>
      <c r="W430" s="271"/>
      <c r="X430" s="271">
        <f t="shared" ca="1" si="82"/>
        <v>0</v>
      </c>
      <c r="Y430" s="271"/>
      <c r="Z430" s="271"/>
      <c r="AB430" s="273" t="str">
        <f t="shared" si="83"/>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81"/>
        <v/>
      </c>
      <c r="T431" s="222" t="str">
        <f ca="1">IF(B431="","",IF(ISERROR(MATCH($J431,SorP!$B$1:$B$6230,0)),"",INDIRECT("'SorP'!$A$"&amp;MATCH($J431,SorP!$B$1:$B$6230,0))))</f>
        <v/>
      </c>
      <c r="U431" s="238"/>
      <c r="V431" s="270" t="e">
        <f>IF(C431="",NA(),MATCH($B431&amp;$C431,'Smelter Look-up'!$J:$J,0))</f>
        <v>#N/A</v>
      </c>
      <c r="W431" s="271"/>
      <c r="X431" s="271">
        <f t="shared" ca="1" si="82"/>
        <v>0</v>
      </c>
      <c r="Y431" s="271"/>
      <c r="Z431" s="271"/>
      <c r="AB431" s="273" t="str">
        <f t="shared" si="83"/>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81"/>
        <v/>
      </c>
      <c r="T432" s="222" t="str">
        <f ca="1">IF(B432="","",IF(ISERROR(MATCH($J432,SorP!$B$1:$B$6230,0)),"",INDIRECT("'SorP'!$A$"&amp;MATCH($J432,SorP!$B$1:$B$6230,0))))</f>
        <v/>
      </c>
      <c r="U432" s="238"/>
      <c r="V432" s="270" t="e">
        <f>IF(C432="",NA(),MATCH($B432&amp;$C432,'Smelter Look-up'!$J:$J,0))</f>
        <v>#N/A</v>
      </c>
      <c r="W432" s="271"/>
      <c r="X432" s="271">
        <f t="shared" ca="1" si="82"/>
        <v>0</v>
      </c>
      <c r="Y432" s="271"/>
      <c r="Z432" s="271"/>
      <c r="AB432" s="273" t="str">
        <f t="shared" si="83"/>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81"/>
        <v/>
      </c>
      <c r="T433" s="222" t="str">
        <f ca="1">IF(B433="","",IF(ISERROR(MATCH($J433,SorP!$B$1:$B$6230,0)),"",INDIRECT("'SorP'!$A$"&amp;MATCH($J433,SorP!$B$1:$B$6230,0))))</f>
        <v/>
      </c>
      <c r="U433" s="238"/>
      <c r="V433" s="270" t="e">
        <f>IF(C433="",NA(),MATCH($B433&amp;$C433,'Smelter Look-up'!$J:$J,0))</f>
        <v>#N/A</v>
      </c>
      <c r="W433" s="271"/>
      <c r="X433" s="271">
        <f t="shared" ca="1" si="82"/>
        <v>0</v>
      </c>
      <c r="Y433" s="271"/>
      <c r="Z433" s="271"/>
      <c r="AB433" s="273" t="str">
        <f t="shared" si="83"/>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81"/>
        <v/>
      </c>
      <c r="T434" s="222" t="str">
        <f ca="1">IF(B434="","",IF(ISERROR(MATCH($J434,SorP!$B$1:$B$6230,0)),"",INDIRECT("'SorP'!$A$"&amp;MATCH($J434,SorP!$B$1:$B$6230,0))))</f>
        <v/>
      </c>
      <c r="U434" s="238"/>
      <c r="V434" s="270" t="e">
        <f>IF(C434="",NA(),MATCH($B434&amp;$C434,'Smelter Look-up'!$J:$J,0))</f>
        <v>#N/A</v>
      </c>
      <c r="W434" s="271"/>
      <c r="X434" s="271">
        <f t="shared" ca="1" si="82"/>
        <v>0</v>
      </c>
      <c r="Y434" s="271"/>
      <c r="Z434" s="271"/>
      <c r="AB434" s="273" t="str">
        <f t="shared" si="83"/>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81"/>
        <v/>
      </c>
      <c r="T435" s="222" t="str">
        <f ca="1">IF(B435="","",IF(ISERROR(MATCH($J435,SorP!$B$1:$B$6230,0)),"",INDIRECT("'SorP'!$A$"&amp;MATCH($J435,SorP!$B$1:$B$6230,0))))</f>
        <v/>
      </c>
      <c r="U435" s="238"/>
      <c r="V435" s="270" t="e">
        <f>IF(C435="",NA(),MATCH($B435&amp;$C435,'Smelter Look-up'!$J:$J,0))</f>
        <v>#N/A</v>
      </c>
      <c r="W435" s="271"/>
      <c r="X435" s="271">
        <f t="shared" ca="1" si="82"/>
        <v>0</v>
      </c>
      <c r="Y435" s="271"/>
      <c r="Z435" s="271"/>
      <c r="AB435" s="273" t="str">
        <f t="shared" si="83"/>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81"/>
        <v/>
      </c>
      <c r="T436" s="222" t="str">
        <f ca="1">IF(B436="","",IF(ISERROR(MATCH($J436,SorP!$B$1:$B$6230,0)),"",INDIRECT("'SorP'!$A$"&amp;MATCH($J436,SorP!$B$1:$B$6230,0))))</f>
        <v/>
      </c>
      <c r="U436" s="238"/>
      <c r="V436" s="270" t="e">
        <f>IF(C436="",NA(),MATCH($B436&amp;$C436,'Smelter Look-up'!$J:$J,0))</f>
        <v>#N/A</v>
      </c>
      <c r="W436" s="271"/>
      <c r="X436" s="271">
        <f t="shared" ca="1" si="82"/>
        <v>0</v>
      </c>
      <c r="Y436" s="271"/>
      <c r="Z436" s="271"/>
      <c r="AB436" s="273" t="str">
        <f t="shared" si="83"/>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81"/>
        <v/>
      </c>
      <c r="T437" s="222" t="str">
        <f ca="1">IF(B437="","",IF(ISERROR(MATCH($J437,SorP!$B$1:$B$6230,0)),"",INDIRECT("'SorP'!$A$"&amp;MATCH($J437,SorP!$B$1:$B$6230,0))))</f>
        <v/>
      </c>
      <c r="U437" s="238"/>
      <c r="V437" s="270" t="e">
        <f>IF(C437="",NA(),MATCH($B437&amp;$C437,'Smelter Look-up'!$J:$J,0))</f>
        <v>#N/A</v>
      </c>
      <c r="W437" s="271"/>
      <c r="X437" s="271">
        <f t="shared" ca="1" si="82"/>
        <v>0</v>
      </c>
      <c r="Y437" s="271"/>
      <c r="Z437" s="271"/>
      <c r="AB437" s="273" t="str">
        <f t="shared" si="83"/>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81"/>
        <v/>
      </c>
      <c r="T438" s="222" t="str">
        <f ca="1">IF(B438="","",IF(ISERROR(MATCH($J438,SorP!$B$1:$B$6230,0)),"",INDIRECT("'SorP'!$A$"&amp;MATCH($J438,SorP!$B$1:$B$6230,0))))</f>
        <v/>
      </c>
      <c r="U438" s="238"/>
      <c r="V438" s="270" t="e">
        <f>IF(C438="",NA(),MATCH($B438&amp;$C438,'Smelter Look-up'!$J:$J,0))</f>
        <v>#N/A</v>
      </c>
      <c r="W438" s="271"/>
      <c r="X438" s="271">
        <f t="shared" ca="1" si="82"/>
        <v>0</v>
      </c>
      <c r="Y438" s="271"/>
      <c r="Z438" s="271"/>
      <c r="AB438" s="273" t="str">
        <f t="shared" si="83"/>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81"/>
        <v/>
      </c>
      <c r="T439" s="222" t="str">
        <f ca="1">IF(B439="","",IF(ISERROR(MATCH($J439,SorP!$B$1:$B$6230,0)),"",INDIRECT("'SorP'!$A$"&amp;MATCH($J439,SorP!$B$1:$B$6230,0))))</f>
        <v/>
      </c>
      <c r="U439" s="238"/>
      <c r="V439" s="270" t="e">
        <f>IF(C439="",NA(),MATCH($B439&amp;$C439,'Smelter Look-up'!$J:$J,0))</f>
        <v>#N/A</v>
      </c>
      <c r="W439" s="271"/>
      <c r="X439" s="271">
        <f t="shared" ca="1" si="82"/>
        <v>0</v>
      </c>
      <c r="Y439" s="271"/>
      <c r="Z439" s="271"/>
      <c r="AB439" s="273" t="str">
        <f t="shared" si="83"/>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81"/>
        <v/>
      </c>
      <c r="T440" s="222" t="str">
        <f ca="1">IF(B440="","",IF(ISERROR(MATCH($J440,SorP!$B$1:$B$6230,0)),"",INDIRECT("'SorP'!$A$"&amp;MATCH($J440,SorP!$B$1:$B$6230,0))))</f>
        <v/>
      </c>
      <c r="U440" s="238"/>
      <c r="V440" s="270" t="e">
        <f>IF(C440="",NA(),MATCH($B440&amp;$C440,'Smelter Look-up'!$J:$J,0))</f>
        <v>#N/A</v>
      </c>
      <c r="W440" s="271"/>
      <c r="X440" s="271">
        <f t="shared" ca="1" si="82"/>
        <v>0</v>
      </c>
      <c r="Y440" s="271"/>
      <c r="Z440" s="271"/>
      <c r="AB440" s="273" t="str">
        <f t="shared" si="83"/>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ref="S441:S471" ca="1" si="84">IF(B441="","",IF(ISERROR(MATCH($E441,CL,0)),"Unknown",INDIRECT("'C'!$A$"&amp;MATCH($E441,CL,0)+1)))</f>
        <v/>
      </c>
      <c r="T441" s="222" t="str">
        <f ca="1">IF(B441="","",IF(ISERROR(MATCH($J441,SorP!$B$1:$B$6230,0)),"",INDIRECT("'SorP'!$A$"&amp;MATCH($J441,SorP!$B$1:$B$6230,0))))</f>
        <v/>
      </c>
      <c r="U441" s="238"/>
      <c r="V441" s="270" t="e">
        <f>IF(C441="",NA(),MATCH($B441&amp;$C441,'Smelter Look-up'!$J:$J,0))</f>
        <v>#N/A</v>
      </c>
      <c r="W441" s="271"/>
      <c r="X441" s="271">
        <f t="shared" ref="X441:X471" ca="1" si="85">IF(AND(C441="Smelter not listed",OR(LEN(D441)=0,LEN(E441)=0)),1,0)</f>
        <v>0</v>
      </c>
      <c r="Y441" s="271"/>
      <c r="Z441" s="271"/>
      <c r="AB441" s="273" t="str">
        <f t="shared" ref="AB441:AB471" si="86">B441&amp;C441</f>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84"/>
        <v/>
      </c>
      <c r="T442" s="222" t="str">
        <f ca="1">IF(B442="","",IF(ISERROR(MATCH($J442,SorP!$B$1:$B$6230,0)),"",INDIRECT("'SorP'!$A$"&amp;MATCH($J442,SorP!$B$1:$B$6230,0))))</f>
        <v/>
      </c>
      <c r="U442" s="238"/>
      <c r="V442" s="270" t="e">
        <f>IF(C442="",NA(),MATCH($B442&amp;$C442,'Smelter Look-up'!$J:$J,0))</f>
        <v>#N/A</v>
      </c>
      <c r="W442" s="271"/>
      <c r="X442" s="271">
        <f t="shared" ca="1" si="85"/>
        <v>0</v>
      </c>
      <c r="Y442" s="271"/>
      <c r="Z442" s="271"/>
      <c r="AB442" s="273" t="str">
        <f t="shared" si="86"/>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84"/>
        <v/>
      </c>
      <c r="T443" s="222" t="str">
        <f ca="1">IF(B443="","",IF(ISERROR(MATCH($J443,SorP!$B$1:$B$6230,0)),"",INDIRECT("'SorP'!$A$"&amp;MATCH($J443,SorP!$B$1:$B$6230,0))))</f>
        <v/>
      </c>
      <c r="U443" s="238"/>
      <c r="V443" s="270" t="e">
        <f>IF(C443="",NA(),MATCH($B443&amp;$C443,'Smelter Look-up'!$J:$J,0))</f>
        <v>#N/A</v>
      </c>
      <c r="W443" s="271"/>
      <c r="X443" s="271">
        <f t="shared" ca="1" si="85"/>
        <v>0</v>
      </c>
      <c r="Y443" s="271"/>
      <c r="Z443" s="271"/>
      <c r="AB443" s="273" t="str">
        <f t="shared" si="86"/>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84"/>
        <v/>
      </c>
      <c r="T444" s="222" t="str">
        <f ca="1">IF(B444="","",IF(ISERROR(MATCH($J444,SorP!$B$1:$B$6230,0)),"",INDIRECT("'SorP'!$A$"&amp;MATCH($J444,SorP!$B$1:$B$6230,0))))</f>
        <v/>
      </c>
      <c r="U444" s="238"/>
      <c r="V444" s="270" t="e">
        <f>IF(C444="",NA(),MATCH($B444&amp;$C444,'Smelter Look-up'!$J:$J,0))</f>
        <v>#N/A</v>
      </c>
      <c r="W444" s="271"/>
      <c r="X444" s="271">
        <f t="shared" ca="1" si="85"/>
        <v>0</v>
      </c>
      <c r="Y444" s="271"/>
      <c r="Z444" s="271"/>
      <c r="AB444" s="273" t="str">
        <f t="shared" si="86"/>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84"/>
        <v/>
      </c>
      <c r="T445" s="222" t="str">
        <f ca="1">IF(B445="","",IF(ISERROR(MATCH($J445,SorP!$B$1:$B$6230,0)),"",INDIRECT("'SorP'!$A$"&amp;MATCH($J445,SorP!$B$1:$B$6230,0))))</f>
        <v/>
      </c>
      <c r="U445" s="238"/>
      <c r="V445" s="270" t="e">
        <f>IF(C445="",NA(),MATCH($B445&amp;$C445,'Smelter Look-up'!$J:$J,0))</f>
        <v>#N/A</v>
      </c>
      <c r="W445" s="271"/>
      <c r="X445" s="271">
        <f t="shared" ca="1" si="85"/>
        <v>0</v>
      </c>
      <c r="Y445" s="271"/>
      <c r="Z445" s="271"/>
      <c r="AB445" s="273" t="str">
        <f t="shared" si="86"/>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84"/>
        <v/>
      </c>
      <c r="T446" s="222" t="str">
        <f ca="1">IF(B446="","",IF(ISERROR(MATCH($J446,SorP!$B$1:$B$6230,0)),"",INDIRECT("'SorP'!$A$"&amp;MATCH($J446,SorP!$B$1:$B$6230,0))))</f>
        <v/>
      </c>
      <c r="U446" s="238"/>
      <c r="V446" s="270" t="e">
        <f>IF(C446="",NA(),MATCH($B446&amp;$C446,'Smelter Look-up'!$J:$J,0))</f>
        <v>#N/A</v>
      </c>
      <c r="W446" s="271"/>
      <c r="X446" s="271">
        <f t="shared" ca="1" si="85"/>
        <v>0</v>
      </c>
      <c r="Y446" s="271"/>
      <c r="Z446" s="271"/>
      <c r="AB446" s="273" t="str">
        <f t="shared" si="86"/>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84"/>
        <v/>
      </c>
      <c r="T447" s="222" t="str">
        <f ca="1">IF(B447="","",IF(ISERROR(MATCH($J447,SorP!$B$1:$B$6230,0)),"",INDIRECT("'SorP'!$A$"&amp;MATCH($J447,SorP!$B$1:$B$6230,0))))</f>
        <v/>
      </c>
      <c r="U447" s="238"/>
      <c r="V447" s="270" t="e">
        <f>IF(C447="",NA(),MATCH($B447&amp;$C447,'Smelter Look-up'!$J:$J,0))</f>
        <v>#N/A</v>
      </c>
      <c r="W447" s="271"/>
      <c r="X447" s="271">
        <f t="shared" ca="1" si="85"/>
        <v>0</v>
      </c>
      <c r="Y447" s="271"/>
      <c r="Z447" s="271"/>
      <c r="AB447" s="273" t="str">
        <f t="shared" si="86"/>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84"/>
        <v/>
      </c>
      <c r="T448" s="222" t="str">
        <f ca="1">IF(B448="","",IF(ISERROR(MATCH($J448,SorP!$B$1:$B$6230,0)),"",INDIRECT("'SorP'!$A$"&amp;MATCH($J448,SorP!$B$1:$B$6230,0))))</f>
        <v/>
      </c>
      <c r="U448" s="238"/>
      <c r="V448" s="270" t="e">
        <f>IF(C448="",NA(),MATCH($B448&amp;$C448,'Smelter Look-up'!$J:$J,0))</f>
        <v>#N/A</v>
      </c>
      <c r="W448" s="271"/>
      <c r="X448" s="271">
        <f t="shared" ca="1" si="85"/>
        <v>0</v>
      </c>
      <c r="Y448" s="271"/>
      <c r="Z448" s="271"/>
      <c r="AB448" s="273" t="str">
        <f t="shared" si="86"/>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84"/>
        <v/>
      </c>
      <c r="T449" s="222" t="str">
        <f ca="1">IF(B449="","",IF(ISERROR(MATCH($J449,SorP!$B$1:$B$6230,0)),"",INDIRECT("'SorP'!$A$"&amp;MATCH($J449,SorP!$B$1:$B$6230,0))))</f>
        <v/>
      </c>
      <c r="U449" s="238"/>
      <c r="V449" s="270" t="e">
        <f>IF(C449="",NA(),MATCH($B449&amp;$C449,'Smelter Look-up'!$J:$J,0))</f>
        <v>#N/A</v>
      </c>
      <c r="W449" s="271"/>
      <c r="X449" s="271">
        <f t="shared" ca="1" si="85"/>
        <v>0</v>
      </c>
      <c r="Y449" s="271"/>
      <c r="Z449" s="271"/>
      <c r="AB449" s="273" t="str">
        <f t="shared" si="86"/>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84"/>
        <v/>
      </c>
      <c r="T450" s="222" t="str">
        <f ca="1">IF(B450="","",IF(ISERROR(MATCH($J450,SorP!$B$1:$B$6230,0)),"",INDIRECT("'SorP'!$A$"&amp;MATCH($J450,SorP!$B$1:$B$6230,0))))</f>
        <v/>
      </c>
      <c r="U450" s="238"/>
      <c r="V450" s="270" t="e">
        <f>IF(C450="",NA(),MATCH($B450&amp;$C450,'Smelter Look-up'!$J:$J,0))</f>
        <v>#N/A</v>
      </c>
      <c r="W450" s="271"/>
      <c r="X450" s="271">
        <f t="shared" ca="1" si="85"/>
        <v>0</v>
      </c>
      <c r="Y450" s="271"/>
      <c r="Z450" s="271"/>
      <c r="AB450" s="273" t="str">
        <f t="shared" si="86"/>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84"/>
        <v/>
      </c>
      <c r="T451" s="222" t="str">
        <f ca="1">IF(B451="","",IF(ISERROR(MATCH($J451,SorP!$B$1:$B$6230,0)),"",INDIRECT("'SorP'!$A$"&amp;MATCH($J451,SorP!$B$1:$B$6230,0))))</f>
        <v/>
      </c>
      <c r="U451" s="238"/>
      <c r="V451" s="270" t="e">
        <f>IF(C451="",NA(),MATCH($B451&amp;$C451,'Smelter Look-up'!$J:$J,0))</f>
        <v>#N/A</v>
      </c>
      <c r="W451" s="271"/>
      <c r="X451" s="271">
        <f t="shared" ca="1" si="85"/>
        <v>0</v>
      </c>
      <c r="Y451" s="271"/>
      <c r="Z451" s="271"/>
      <c r="AB451" s="273" t="str">
        <f t="shared" si="86"/>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84"/>
        <v/>
      </c>
      <c r="T452" s="222" t="str">
        <f ca="1">IF(B452="","",IF(ISERROR(MATCH($J452,SorP!$B$1:$B$6230,0)),"",INDIRECT("'SorP'!$A$"&amp;MATCH($J452,SorP!$B$1:$B$6230,0))))</f>
        <v/>
      </c>
      <c r="U452" s="238"/>
      <c r="V452" s="270" t="e">
        <f>IF(C452="",NA(),MATCH($B452&amp;$C452,'Smelter Look-up'!$J:$J,0))</f>
        <v>#N/A</v>
      </c>
      <c r="W452" s="271"/>
      <c r="X452" s="271">
        <f t="shared" ca="1" si="85"/>
        <v>0</v>
      </c>
      <c r="Y452" s="271"/>
      <c r="Z452" s="271"/>
      <c r="AB452" s="273" t="str">
        <f t="shared" si="86"/>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ca="1" si="84"/>
        <v/>
      </c>
      <c r="T453" s="222" t="str">
        <f ca="1">IF(B453="","",IF(ISERROR(MATCH($J453,SorP!$B$1:$B$6230,0)),"",INDIRECT("'SorP'!$A$"&amp;MATCH($J453,SorP!$B$1:$B$6230,0))))</f>
        <v/>
      </c>
      <c r="U453" s="238"/>
      <c r="V453" s="270" t="e">
        <f>IF(C453="",NA(),MATCH($B453&amp;$C453,'Smelter Look-up'!$J:$J,0))</f>
        <v>#N/A</v>
      </c>
      <c r="W453" s="271"/>
      <c r="X453" s="271">
        <f t="shared" ca="1" si="85"/>
        <v>0</v>
      </c>
      <c r="Y453" s="271"/>
      <c r="Z453" s="271"/>
      <c r="AB453" s="273" t="str">
        <f t="shared" si="86"/>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ca="1" si="84"/>
        <v/>
      </c>
      <c r="T454" s="222" t="str">
        <f ca="1">IF(B454="","",IF(ISERROR(MATCH($J454,SorP!$B$1:$B$6230,0)),"",INDIRECT("'SorP'!$A$"&amp;MATCH($J454,SorP!$B$1:$B$6230,0))))</f>
        <v/>
      </c>
      <c r="U454" s="238"/>
      <c r="V454" s="270" t="e">
        <f>IF(C454="",NA(),MATCH($B454&amp;$C454,'Smelter Look-up'!$J:$J,0))</f>
        <v>#N/A</v>
      </c>
      <c r="W454" s="271"/>
      <c r="X454" s="271">
        <f t="shared" ca="1" si="85"/>
        <v>0</v>
      </c>
      <c r="Y454" s="271"/>
      <c r="Z454" s="271"/>
      <c r="AB454" s="273" t="str">
        <f t="shared" si="86"/>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84"/>
        <v/>
      </c>
      <c r="T455" s="222" t="str">
        <f ca="1">IF(B455="","",IF(ISERROR(MATCH($J455,SorP!$B$1:$B$6230,0)),"",INDIRECT("'SorP'!$A$"&amp;MATCH($J455,SorP!$B$1:$B$6230,0))))</f>
        <v/>
      </c>
      <c r="U455" s="238"/>
      <c r="V455" s="270" t="e">
        <f>IF(C455="",NA(),MATCH($B455&amp;$C455,'Smelter Look-up'!$J:$J,0))</f>
        <v>#N/A</v>
      </c>
      <c r="W455" s="271"/>
      <c r="X455" s="271">
        <f t="shared" ca="1" si="85"/>
        <v>0</v>
      </c>
      <c r="Y455" s="271"/>
      <c r="Z455" s="271"/>
      <c r="AB455" s="273" t="str">
        <f t="shared" si="86"/>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84"/>
        <v/>
      </c>
      <c r="T456" s="222" t="str">
        <f ca="1">IF(B456="","",IF(ISERROR(MATCH($J456,SorP!$B$1:$B$6230,0)),"",INDIRECT("'SorP'!$A$"&amp;MATCH($J456,SorP!$B$1:$B$6230,0))))</f>
        <v/>
      </c>
      <c r="U456" s="238"/>
      <c r="V456" s="270" t="e">
        <f>IF(C456="",NA(),MATCH($B456&amp;$C456,'Smelter Look-up'!$J:$J,0))</f>
        <v>#N/A</v>
      </c>
      <c r="W456" s="271"/>
      <c r="X456" s="271">
        <f t="shared" ca="1" si="85"/>
        <v>0</v>
      </c>
      <c r="Y456" s="271"/>
      <c r="Z456" s="271"/>
      <c r="AB456" s="273" t="str">
        <f t="shared" si="86"/>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84"/>
        <v/>
      </c>
      <c r="T457" s="222" t="str">
        <f ca="1">IF(B457="","",IF(ISERROR(MATCH($J457,SorP!$B$1:$B$6230,0)),"",INDIRECT("'SorP'!$A$"&amp;MATCH($J457,SorP!$B$1:$B$6230,0))))</f>
        <v/>
      </c>
      <c r="U457" s="238"/>
      <c r="V457" s="270" t="e">
        <f>IF(C457="",NA(),MATCH($B457&amp;$C457,'Smelter Look-up'!$J:$J,0))</f>
        <v>#N/A</v>
      </c>
      <c r="W457" s="271"/>
      <c r="X457" s="271">
        <f t="shared" ca="1" si="85"/>
        <v>0</v>
      </c>
      <c r="Y457" s="271"/>
      <c r="Z457" s="271"/>
      <c r="AB457" s="273" t="str">
        <f t="shared" si="86"/>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84"/>
        <v/>
      </c>
      <c r="T458" s="222" t="str">
        <f ca="1">IF(B458="","",IF(ISERROR(MATCH($J458,SorP!$B$1:$B$6230,0)),"",INDIRECT("'SorP'!$A$"&amp;MATCH($J458,SorP!$B$1:$B$6230,0))))</f>
        <v/>
      </c>
      <c r="U458" s="238"/>
      <c r="V458" s="270" t="e">
        <f>IF(C458="",NA(),MATCH($B458&amp;$C458,'Smelter Look-up'!$J:$J,0))</f>
        <v>#N/A</v>
      </c>
      <c r="W458" s="271"/>
      <c r="X458" s="271">
        <f t="shared" ca="1" si="85"/>
        <v>0</v>
      </c>
      <c r="Y458" s="271"/>
      <c r="Z458" s="271"/>
      <c r="AB458" s="273" t="str">
        <f t="shared" si="86"/>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84"/>
        <v/>
      </c>
      <c r="T459" s="222" t="str">
        <f ca="1">IF(B459="","",IF(ISERROR(MATCH($J459,SorP!$B$1:$B$6230,0)),"",INDIRECT("'SorP'!$A$"&amp;MATCH($J459,SorP!$B$1:$B$6230,0))))</f>
        <v/>
      </c>
      <c r="U459" s="238"/>
      <c r="V459" s="270" t="e">
        <f>IF(C459="",NA(),MATCH($B459&amp;$C459,'Smelter Look-up'!$J:$J,0))</f>
        <v>#N/A</v>
      </c>
      <c r="W459" s="271"/>
      <c r="X459" s="271">
        <f t="shared" ca="1" si="85"/>
        <v>0</v>
      </c>
      <c r="Y459" s="271"/>
      <c r="Z459" s="271"/>
      <c r="AB459" s="273" t="str">
        <f t="shared" si="86"/>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84"/>
        <v/>
      </c>
      <c r="T460" s="222" t="str">
        <f ca="1">IF(B460="","",IF(ISERROR(MATCH($J460,SorP!$B$1:$B$6230,0)),"",INDIRECT("'SorP'!$A$"&amp;MATCH($J460,SorP!$B$1:$B$6230,0))))</f>
        <v/>
      </c>
      <c r="U460" s="238"/>
      <c r="V460" s="270" t="e">
        <f>IF(C460="",NA(),MATCH($B460&amp;$C460,'Smelter Look-up'!$J:$J,0))</f>
        <v>#N/A</v>
      </c>
      <c r="W460" s="271"/>
      <c r="X460" s="271">
        <f t="shared" ca="1" si="85"/>
        <v>0</v>
      </c>
      <c r="Y460" s="271"/>
      <c r="Z460" s="271"/>
      <c r="AB460" s="273" t="str">
        <f t="shared" si="86"/>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84"/>
        <v/>
      </c>
      <c r="T461" s="222" t="str">
        <f ca="1">IF(B461="","",IF(ISERROR(MATCH($J461,SorP!$B$1:$B$6230,0)),"",INDIRECT("'SorP'!$A$"&amp;MATCH($J461,SorP!$B$1:$B$6230,0))))</f>
        <v/>
      </c>
      <c r="U461" s="238"/>
      <c r="V461" s="270" t="e">
        <f>IF(C461="",NA(),MATCH($B461&amp;$C461,'Smelter Look-up'!$J:$J,0))</f>
        <v>#N/A</v>
      </c>
      <c r="W461" s="271"/>
      <c r="X461" s="271">
        <f t="shared" ca="1" si="85"/>
        <v>0</v>
      </c>
      <c r="Y461" s="271"/>
      <c r="Z461" s="271"/>
      <c r="AB461" s="273" t="str">
        <f t="shared" si="86"/>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84"/>
        <v/>
      </c>
      <c r="T462" s="222" t="str">
        <f ca="1">IF(B462="","",IF(ISERROR(MATCH($J462,SorP!$B$1:$B$6230,0)),"",INDIRECT("'SorP'!$A$"&amp;MATCH($J462,SorP!$B$1:$B$6230,0))))</f>
        <v/>
      </c>
      <c r="U462" s="238"/>
      <c r="V462" s="270" t="e">
        <f>IF(C462="",NA(),MATCH($B462&amp;$C462,'Smelter Look-up'!$J:$J,0))</f>
        <v>#N/A</v>
      </c>
      <c r="W462" s="271"/>
      <c r="X462" s="271">
        <f t="shared" ca="1" si="85"/>
        <v>0</v>
      </c>
      <c r="Y462" s="271"/>
      <c r="Z462" s="271"/>
      <c r="AB462" s="273" t="str">
        <f t="shared" si="86"/>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84"/>
        <v/>
      </c>
      <c r="T463" s="222" t="str">
        <f ca="1">IF(B463="","",IF(ISERROR(MATCH($J463,SorP!$B$1:$B$6230,0)),"",INDIRECT("'SorP'!$A$"&amp;MATCH($J463,SorP!$B$1:$B$6230,0))))</f>
        <v/>
      </c>
      <c r="U463" s="238"/>
      <c r="V463" s="270" t="e">
        <f>IF(C463="",NA(),MATCH($B463&amp;$C463,'Smelter Look-up'!$J:$J,0))</f>
        <v>#N/A</v>
      </c>
      <c r="W463" s="271"/>
      <c r="X463" s="271">
        <f t="shared" ca="1" si="85"/>
        <v>0</v>
      </c>
      <c r="Y463" s="271"/>
      <c r="Z463" s="271"/>
      <c r="AB463" s="273" t="str">
        <f t="shared" si="86"/>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84"/>
        <v/>
      </c>
      <c r="T464" s="222" t="str">
        <f ca="1">IF(B464="","",IF(ISERROR(MATCH($J464,SorP!$B$1:$B$6230,0)),"",INDIRECT("'SorP'!$A$"&amp;MATCH($J464,SorP!$B$1:$B$6230,0))))</f>
        <v/>
      </c>
      <c r="U464" s="238"/>
      <c r="V464" s="270" t="e">
        <f>IF(C464="",NA(),MATCH($B464&amp;$C464,'Smelter Look-up'!$J:$J,0))</f>
        <v>#N/A</v>
      </c>
      <c r="W464" s="271"/>
      <c r="X464" s="271">
        <f t="shared" ca="1" si="85"/>
        <v>0</v>
      </c>
      <c r="Y464" s="271"/>
      <c r="Z464" s="271"/>
      <c r="AB464" s="273" t="str">
        <f t="shared" si="86"/>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84"/>
        <v/>
      </c>
      <c r="T465" s="222" t="str">
        <f ca="1">IF(B465="","",IF(ISERROR(MATCH($J465,SorP!$B$1:$B$6230,0)),"",INDIRECT("'SorP'!$A$"&amp;MATCH($J465,SorP!$B$1:$B$6230,0))))</f>
        <v/>
      </c>
      <c r="U465" s="238"/>
      <c r="V465" s="270" t="e">
        <f>IF(C465="",NA(),MATCH($B465&amp;$C465,'Smelter Look-up'!$J:$J,0))</f>
        <v>#N/A</v>
      </c>
      <c r="W465" s="271"/>
      <c r="X465" s="271">
        <f t="shared" ca="1" si="85"/>
        <v>0</v>
      </c>
      <c r="Y465" s="271"/>
      <c r="Z465" s="271"/>
      <c r="AB465" s="273" t="str">
        <f t="shared" si="86"/>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84"/>
        <v/>
      </c>
      <c r="T466" s="222" t="str">
        <f ca="1">IF(B466="","",IF(ISERROR(MATCH($J466,SorP!$B$1:$B$6230,0)),"",INDIRECT("'SorP'!$A$"&amp;MATCH($J466,SorP!$B$1:$B$6230,0))))</f>
        <v/>
      </c>
      <c r="U466" s="238"/>
      <c r="V466" s="270" t="e">
        <f>IF(C466="",NA(),MATCH($B466&amp;$C466,'Smelter Look-up'!$J:$J,0))</f>
        <v>#N/A</v>
      </c>
      <c r="W466" s="271"/>
      <c r="X466" s="271">
        <f t="shared" ca="1" si="85"/>
        <v>0</v>
      </c>
      <c r="Y466" s="271"/>
      <c r="Z466" s="271"/>
      <c r="AB466" s="273" t="str">
        <f t="shared" si="86"/>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84"/>
        <v/>
      </c>
      <c r="T467" s="222" t="str">
        <f ca="1">IF(B467="","",IF(ISERROR(MATCH($J467,SorP!$B$1:$B$6230,0)),"",INDIRECT("'SorP'!$A$"&amp;MATCH($J467,SorP!$B$1:$B$6230,0))))</f>
        <v/>
      </c>
      <c r="U467" s="238"/>
      <c r="V467" s="270" t="e">
        <f>IF(C467="",NA(),MATCH($B467&amp;$C467,'Smelter Look-up'!$J:$J,0))</f>
        <v>#N/A</v>
      </c>
      <c r="W467" s="271"/>
      <c r="X467" s="271">
        <f t="shared" ca="1" si="85"/>
        <v>0</v>
      </c>
      <c r="Y467" s="271"/>
      <c r="Z467" s="271"/>
      <c r="AB467" s="273" t="str">
        <f t="shared" si="86"/>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84"/>
        <v/>
      </c>
      <c r="T468" s="222" t="str">
        <f ca="1">IF(B468="","",IF(ISERROR(MATCH($J468,SorP!$B$1:$B$6230,0)),"",INDIRECT("'SorP'!$A$"&amp;MATCH($J468,SorP!$B$1:$B$6230,0))))</f>
        <v/>
      </c>
      <c r="U468" s="238"/>
      <c r="V468" s="270" t="e">
        <f>IF(C468="",NA(),MATCH($B468&amp;$C468,'Smelter Look-up'!$J:$J,0))</f>
        <v>#N/A</v>
      </c>
      <c r="W468" s="271"/>
      <c r="X468" s="271">
        <f t="shared" ca="1" si="85"/>
        <v>0</v>
      </c>
      <c r="Y468" s="271"/>
      <c r="Z468" s="271"/>
      <c r="AB468" s="273" t="str">
        <f t="shared" si="86"/>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84"/>
        <v/>
      </c>
      <c r="T469" s="222" t="str">
        <f ca="1">IF(B469="","",IF(ISERROR(MATCH($J469,SorP!$B$1:$B$6230,0)),"",INDIRECT("'SorP'!$A$"&amp;MATCH($J469,SorP!$B$1:$B$6230,0))))</f>
        <v/>
      </c>
      <c r="U469" s="238"/>
      <c r="V469" s="270" t="e">
        <f>IF(C469="",NA(),MATCH($B469&amp;$C469,'Smelter Look-up'!$J:$J,0))</f>
        <v>#N/A</v>
      </c>
      <c r="W469" s="271"/>
      <c r="X469" s="271">
        <f t="shared" ca="1" si="85"/>
        <v>0</v>
      </c>
      <c r="Y469" s="271"/>
      <c r="Z469" s="271"/>
      <c r="AB469" s="273" t="str">
        <f t="shared" si="86"/>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84"/>
        <v/>
      </c>
      <c r="T470" s="222" t="str">
        <f ca="1">IF(B470="","",IF(ISERROR(MATCH($J470,SorP!$B$1:$B$6230,0)),"",INDIRECT("'SorP'!$A$"&amp;MATCH($J470,SorP!$B$1:$B$6230,0))))</f>
        <v/>
      </c>
      <c r="U470" s="238"/>
      <c r="V470" s="270" t="e">
        <f>IF(C470="",NA(),MATCH($B470&amp;$C470,'Smelter Look-up'!$J:$J,0))</f>
        <v>#N/A</v>
      </c>
      <c r="W470" s="271"/>
      <c r="X470" s="271">
        <f t="shared" ca="1" si="85"/>
        <v>0</v>
      </c>
      <c r="Y470" s="271"/>
      <c r="Z470" s="271"/>
      <c r="AB470" s="273" t="str">
        <f t="shared" si="86"/>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84"/>
        <v/>
      </c>
      <c r="T471" s="222" t="str">
        <f ca="1">IF(B471="","",IF(ISERROR(MATCH($J471,SorP!$B$1:$B$6230,0)),"",INDIRECT("'SorP'!$A$"&amp;MATCH($J471,SorP!$B$1:$B$6230,0))))</f>
        <v/>
      </c>
      <c r="U471" s="238"/>
      <c r="V471" s="270" t="e">
        <f>IF(C471="",NA(),MATCH($B471&amp;$C471,'Smelter Look-up'!$J:$J,0))</f>
        <v>#N/A</v>
      </c>
      <c r="W471" s="271"/>
      <c r="X471" s="271">
        <f t="shared" ca="1" si="85"/>
        <v>0</v>
      </c>
      <c r="Y471" s="271"/>
      <c r="Z471" s="271"/>
      <c r="AB471" s="273" t="str">
        <f t="shared" si="86"/>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ref="S472" ca="1" si="87">IF(B472="","",IF(ISERROR(MATCH($E472,CL,0)),"Unknown",INDIRECT("'C'!$A$"&amp;MATCH($E472,CL,0)+1)))</f>
        <v/>
      </c>
      <c r="T472" s="222" t="str">
        <f ca="1">IF(B472="","",IF(ISERROR(MATCH($J472,SorP!$B$1:$B$6230,0)),"",INDIRECT("'SorP'!$A$"&amp;MATCH($J472,SorP!$B$1:$B$6230,0))))</f>
        <v/>
      </c>
      <c r="U472" s="238"/>
      <c r="V472" s="270" t="e">
        <f>IF(C472="",NA(),MATCH($B472&amp;$C472,'Smelter Look-up'!$J:$J,0))</f>
        <v>#N/A</v>
      </c>
      <c r="W472" s="271"/>
      <c r="X472" s="271">
        <f t="shared" ref="X472" ca="1" si="88">IF(AND(C472="Smelter not listed",OR(LEN(D472)=0,LEN(E472)=0)),1,0)</f>
        <v>0</v>
      </c>
      <c r="Y472" s="271"/>
      <c r="Z472" s="271"/>
      <c r="AB472" s="273" t="str">
        <f t="shared" ref="AB472" si="89">B472&amp;C472</f>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ref="S473:S504" ca="1" si="90">IF(B473="","",IF(ISERROR(MATCH($E473,CL,0)),"Unknown",INDIRECT("'C'!$A$"&amp;MATCH($E473,CL,0)+1)))</f>
        <v/>
      </c>
      <c r="T473" s="222" t="str">
        <f ca="1">IF(B473="","",IF(ISERROR(MATCH($J473,SorP!$B$1:$B$6230,0)),"",INDIRECT("'SorP'!$A$"&amp;MATCH($J473,SorP!$B$1:$B$6230,0))))</f>
        <v/>
      </c>
      <c r="U473" s="238"/>
      <c r="V473" s="270" t="e">
        <f>IF(C473="",NA(),MATCH($B473&amp;$C473,'Smelter Look-up'!$J:$J,0))</f>
        <v>#N/A</v>
      </c>
      <c r="W473" s="271"/>
      <c r="X473" s="271">
        <f t="shared" ref="X473:X504" ca="1" si="91">IF(AND(C473="Smelter not listed",OR(LEN(D473)=0,LEN(E473)=0)),1,0)</f>
        <v>0</v>
      </c>
      <c r="Y473" s="271"/>
      <c r="Z473" s="271"/>
      <c r="AB473" s="273" t="str">
        <f t="shared" ref="AB473:AB504" si="92">B473&amp;C473</f>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90"/>
        <v/>
      </c>
      <c r="T474" s="222" t="str">
        <f ca="1">IF(B474="","",IF(ISERROR(MATCH($J474,SorP!$B$1:$B$6230,0)),"",INDIRECT("'SorP'!$A$"&amp;MATCH($J474,SorP!$B$1:$B$6230,0))))</f>
        <v/>
      </c>
      <c r="U474" s="238"/>
      <c r="V474" s="270" t="e">
        <f>IF(C474="",NA(),MATCH($B474&amp;$C474,'Smelter Look-up'!$J:$J,0))</f>
        <v>#N/A</v>
      </c>
      <c r="W474" s="271"/>
      <c r="X474" s="271">
        <f t="shared" ca="1" si="91"/>
        <v>0</v>
      </c>
      <c r="Y474" s="271"/>
      <c r="Z474" s="271"/>
      <c r="AB474" s="273" t="str">
        <f t="shared" si="92"/>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90"/>
        <v/>
      </c>
      <c r="T475" s="222" t="str">
        <f ca="1">IF(B475="","",IF(ISERROR(MATCH($J475,SorP!$B$1:$B$6230,0)),"",INDIRECT("'SorP'!$A$"&amp;MATCH($J475,SorP!$B$1:$B$6230,0))))</f>
        <v/>
      </c>
      <c r="U475" s="238"/>
      <c r="V475" s="270" t="e">
        <f>IF(C475="",NA(),MATCH($B475&amp;$C475,'Smelter Look-up'!$J:$J,0))</f>
        <v>#N/A</v>
      </c>
      <c r="W475" s="271"/>
      <c r="X475" s="271">
        <f t="shared" ca="1" si="91"/>
        <v>0</v>
      </c>
      <c r="Y475" s="271"/>
      <c r="Z475" s="271"/>
      <c r="AB475" s="273" t="str">
        <f t="shared" si="92"/>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90"/>
        <v/>
      </c>
      <c r="T476" s="222" t="str">
        <f ca="1">IF(B476="","",IF(ISERROR(MATCH($J476,SorP!$B$1:$B$6230,0)),"",INDIRECT("'SorP'!$A$"&amp;MATCH($J476,SorP!$B$1:$B$6230,0))))</f>
        <v/>
      </c>
      <c r="U476" s="238"/>
      <c r="V476" s="270" t="e">
        <f>IF(C476="",NA(),MATCH($B476&amp;$C476,'Smelter Look-up'!$J:$J,0))</f>
        <v>#N/A</v>
      </c>
      <c r="W476" s="271"/>
      <c r="X476" s="271">
        <f t="shared" ca="1" si="91"/>
        <v>0</v>
      </c>
      <c r="Y476" s="271"/>
      <c r="Z476" s="271"/>
      <c r="AB476" s="273" t="str">
        <f t="shared" si="92"/>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90"/>
        <v/>
      </c>
      <c r="T477" s="222" t="str">
        <f ca="1">IF(B477="","",IF(ISERROR(MATCH($J477,SorP!$B$1:$B$6230,0)),"",INDIRECT("'SorP'!$A$"&amp;MATCH($J477,SorP!$B$1:$B$6230,0))))</f>
        <v/>
      </c>
      <c r="U477" s="238"/>
      <c r="V477" s="270" t="e">
        <f>IF(C477="",NA(),MATCH($B477&amp;$C477,'Smelter Look-up'!$J:$J,0))</f>
        <v>#N/A</v>
      </c>
      <c r="W477" s="271"/>
      <c r="X477" s="271">
        <f t="shared" ca="1" si="91"/>
        <v>0</v>
      </c>
      <c r="Y477" s="271"/>
      <c r="Z477" s="271"/>
      <c r="AB477" s="273" t="str">
        <f t="shared" si="92"/>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90"/>
        <v/>
      </c>
      <c r="T478" s="222" t="str">
        <f ca="1">IF(B478="","",IF(ISERROR(MATCH($J478,SorP!$B$1:$B$6230,0)),"",INDIRECT("'SorP'!$A$"&amp;MATCH($J478,SorP!$B$1:$B$6230,0))))</f>
        <v/>
      </c>
      <c r="U478" s="238"/>
      <c r="V478" s="270" t="e">
        <f>IF(C478="",NA(),MATCH($B478&amp;$C478,'Smelter Look-up'!$J:$J,0))</f>
        <v>#N/A</v>
      </c>
      <c r="W478" s="271"/>
      <c r="X478" s="271">
        <f t="shared" ca="1" si="91"/>
        <v>0</v>
      </c>
      <c r="Y478" s="271"/>
      <c r="Z478" s="271"/>
      <c r="AB478" s="273" t="str">
        <f t="shared" si="92"/>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90"/>
        <v/>
      </c>
      <c r="T479" s="222" t="str">
        <f ca="1">IF(B479="","",IF(ISERROR(MATCH($J479,SorP!$B$1:$B$6230,0)),"",INDIRECT("'SorP'!$A$"&amp;MATCH($J479,SorP!$B$1:$B$6230,0))))</f>
        <v/>
      </c>
      <c r="U479" s="238"/>
      <c r="V479" s="270" t="e">
        <f>IF(C479="",NA(),MATCH($B479&amp;$C479,'Smelter Look-up'!$J:$J,0))</f>
        <v>#N/A</v>
      </c>
      <c r="W479" s="271"/>
      <c r="X479" s="271">
        <f t="shared" ca="1" si="91"/>
        <v>0</v>
      </c>
      <c r="Y479" s="271"/>
      <c r="Z479" s="271"/>
      <c r="AB479" s="273" t="str">
        <f t="shared" si="92"/>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90"/>
        <v/>
      </c>
      <c r="T480" s="222" t="str">
        <f ca="1">IF(B480="","",IF(ISERROR(MATCH($J480,SorP!$B$1:$B$6230,0)),"",INDIRECT("'SorP'!$A$"&amp;MATCH($J480,SorP!$B$1:$B$6230,0))))</f>
        <v/>
      </c>
      <c r="U480" s="238"/>
      <c r="V480" s="270" t="e">
        <f>IF(C480="",NA(),MATCH($B480&amp;$C480,'Smelter Look-up'!$J:$J,0))</f>
        <v>#N/A</v>
      </c>
      <c r="W480" s="271"/>
      <c r="X480" s="271">
        <f t="shared" ca="1" si="91"/>
        <v>0</v>
      </c>
      <c r="Y480" s="271"/>
      <c r="Z480" s="271"/>
      <c r="AB480" s="273" t="str">
        <f t="shared" si="92"/>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90"/>
        <v/>
      </c>
      <c r="T481" s="222" t="str">
        <f ca="1">IF(B481="","",IF(ISERROR(MATCH($J481,SorP!$B$1:$B$6230,0)),"",INDIRECT("'SorP'!$A$"&amp;MATCH($J481,SorP!$B$1:$B$6230,0))))</f>
        <v/>
      </c>
      <c r="U481" s="238"/>
      <c r="V481" s="270" t="e">
        <f>IF(C481="",NA(),MATCH($B481&amp;$C481,'Smelter Look-up'!$J:$J,0))</f>
        <v>#N/A</v>
      </c>
      <c r="W481" s="271"/>
      <c r="X481" s="271">
        <f t="shared" ca="1" si="91"/>
        <v>0</v>
      </c>
      <c r="Y481" s="271"/>
      <c r="Z481" s="271"/>
      <c r="AB481" s="273" t="str">
        <f t="shared" si="92"/>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90"/>
        <v/>
      </c>
      <c r="T482" s="222" t="str">
        <f ca="1">IF(B482="","",IF(ISERROR(MATCH($J482,SorP!$B$1:$B$6230,0)),"",INDIRECT("'SorP'!$A$"&amp;MATCH($J482,SorP!$B$1:$B$6230,0))))</f>
        <v/>
      </c>
      <c r="U482" s="238"/>
      <c r="V482" s="270" t="e">
        <f>IF(C482="",NA(),MATCH($B482&amp;$C482,'Smelter Look-up'!$J:$J,0))</f>
        <v>#N/A</v>
      </c>
      <c r="W482" s="271"/>
      <c r="X482" s="271">
        <f t="shared" ca="1" si="91"/>
        <v>0</v>
      </c>
      <c r="Y482" s="271"/>
      <c r="Z482" s="271"/>
      <c r="AB482" s="273" t="str">
        <f t="shared" si="92"/>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90"/>
        <v/>
      </c>
      <c r="T483" s="222" t="str">
        <f ca="1">IF(B483="","",IF(ISERROR(MATCH($J483,SorP!$B$1:$B$6230,0)),"",INDIRECT("'SorP'!$A$"&amp;MATCH($J483,SorP!$B$1:$B$6230,0))))</f>
        <v/>
      </c>
      <c r="U483" s="238"/>
      <c r="V483" s="270" t="e">
        <f>IF(C483="",NA(),MATCH($B483&amp;$C483,'Smelter Look-up'!$J:$J,0))</f>
        <v>#N/A</v>
      </c>
      <c r="W483" s="271"/>
      <c r="X483" s="271">
        <f t="shared" ca="1" si="91"/>
        <v>0</v>
      </c>
      <c r="Y483" s="271"/>
      <c r="Z483" s="271"/>
      <c r="AB483" s="273" t="str">
        <f t="shared" si="92"/>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90"/>
        <v/>
      </c>
      <c r="T484" s="222" t="str">
        <f ca="1">IF(B484="","",IF(ISERROR(MATCH($J484,SorP!$B$1:$B$6230,0)),"",INDIRECT("'SorP'!$A$"&amp;MATCH($J484,SorP!$B$1:$B$6230,0))))</f>
        <v/>
      </c>
      <c r="U484" s="238"/>
      <c r="V484" s="270" t="e">
        <f>IF(C484="",NA(),MATCH($B484&amp;$C484,'Smelter Look-up'!$J:$J,0))</f>
        <v>#N/A</v>
      </c>
      <c r="W484" s="271"/>
      <c r="X484" s="271">
        <f t="shared" ca="1" si="91"/>
        <v>0</v>
      </c>
      <c r="Y484" s="271"/>
      <c r="Z484" s="271"/>
      <c r="AB484" s="273" t="str">
        <f t="shared" si="92"/>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90"/>
        <v/>
      </c>
      <c r="T485" s="222" t="str">
        <f ca="1">IF(B485="","",IF(ISERROR(MATCH($J485,SorP!$B$1:$B$6230,0)),"",INDIRECT("'SorP'!$A$"&amp;MATCH($J485,SorP!$B$1:$B$6230,0))))</f>
        <v/>
      </c>
      <c r="U485" s="238"/>
      <c r="V485" s="270" t="e">
        <f>IF(C485="",NA(),MATCH($B485&amp;$C485,'Smelter Look-up'!$J:$J,0))</f>
        <v>#N/A</v>
      </c>
      <c r="W485" s="271"/>
      <c r="X485" s="271">
        <f t="shared" ca="1" si="91"/>
        <v>0</v>
      </c>
      <c r="Y485" s="271"/>
      <c r="Z485" s="271"/>
      <c r="AB485" s="273" t="str">
        <f t="shared" si="92"/>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ca="1" si="90"/>
        <v/>
      </c>
      <c r="T486" s="222" t="str">
        <f ca="1">IF(B486="","",IF(ISERROR(MATCH($J486,SorP!$B$1:$B$6230,0)),"",INDIRECT("'SorP'!$A$"&amp;MATCH($J486,SorP!$B$1:$B$6230,0))))</f>
        <v/>
      </c>
      <c r="U486" s="238"/>
      <c r="V486" s="270" t="e">
        <f>IF(C486="",NA(),MATCH($B486&amp;$C486,'Smelter Look-up'!$J:$J,0))</f>
        <v>#N/A</v>
      </c>
      <c r="W486" s="271"/>
      <c r="X486" s="271">
        <f t="shared" ca="1" si="91"/>
        <v>0</v>
      </c>
      <c r="Y486" s="271"/>
      <c r="Z486" s="271"/>
      <c r="AB486" s="273" t="str">
        <f t="shared" si="92"/>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90"/>
        <v/>
      </c>
      <c r="T487" s="222" t="str">
        <f ca="1">IF(B487="","",IF(ISERROR(MATCH($J487,SorP!$B$1:$B$6230,0)),"",INDIRECT("'SorP'!$A$"&amp;MATCH($J487,SorP!$B$1:$B$6230,0))))</f>
        <v/>
      </c>
      <c r="U487" s="238"/>
      <c r="V487" s="270" t="e">
        <f>IF(C487="",NA(),MATCH($B487&amp;$C487,'Smelter Look-up'!$J:$J,0))</f>
        <v>#N/A</v>
      </c>
      <c r="W487" s="271"/>
      <c r="X487" s="271">
        <f t="shared" ca="1" si="91"/>
        <v>0</v>
      </c>
      <c r="Y487" s="271"/>
      <c r="Z487" s="271"/>
      <c r="AB487" s="273" t="str">
        <f t="shared" si="92"/>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90"/>
        <v/>
      </c>
      <c r="T488" s="222" t="str">
        <f ca="1">IF(B488="","",IF(ISERROR(MATCH($J488,SorP!$B$1:$B$6230,0)),"",INDIRECT("'SorP'!$A$"&amp;MATCH($J488,SorP!$B$1:$B$6230,0))))</f>
        <v/>
      </c>
      <c r="U488" s="238"/>
      <c r="V488" s="270" t="e">
        <f>IF(C488="",NA(),MATCH($B488&amp;$C488,'Smelter Look-up'!$J:$J,0))</f>
        <v>#N/A</v>
      </c>
      <c r="W488" s="271"/>
      <c r="X488" s="271">
        <f t="shared" ca="1" si="91"/>
        <v>0</v>
      </c>
      <c r="Y488" s="271"/>
      <c r="Z488" s="271"/>
      <c r="AB488" s="273" t="str">
        <f t="shared" si="92"/>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90"/>
        <v/>
      </c>
      <c r="T489" s="222" t="str">
        <f ca="1">IF(B489="","",IF(ISERROR(MATCH($J489,SorP!$B$1:$B$6230,0)),"",INDIRECT("'SorP'!$A$"&amp;MATCH($J489,SorP!$B$1:$B$6230,0))))</f>
        <v/>
      </c>
      <c r="U489" s="238"/>
      <c r="V489" s="270" t="e">
        <f>IF(C489="",NA(),MATCH($B489&amp;$C489,'Smelter Look-up'!$J:$J,0))</f>
        <v>#N/A</v>
      </c>
      <c r="W489" s="271"/>
      <c r="X489" s="271">
        <f t="shared" ca="1" si="91"/>
        <v>0</v>
      </c>
      <c r="Y489" s="271"/>
      <c r="Z489" s="271"/>
      <c r="AB489" s="273" t="str">
        <f t="shared" si="92"/>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90"/>
        <v/>
      </c>
      <c r="T490" s="222" t="str">
        <f ca="1">IF(B490="","",IF(ISERROR(MATCH($J490,SorP!$B$1:$B$6230,0)),"",INDIRECT("'SorP'!$A$"&amp;MATCH($J490,SorP!$B$1:$B$6230,0))))</f>
        <v/>
      </c>
      <c r="U490" s="238"/>
      <c r="V490" s="270" t="e">
        <f>IF(C490="",NA(),MATCH($B490&amp;$C490,'Smelter Look-up'!$J:$J,0))</f>
        <v>#N/A</v>
      </c>
      <c r="W490" s="271"/>
      <c r="X490" s="271">
        <f t="shared" ca="1" si="91"/>
        <v>0</v>
      </c>
      <c r="Y490" s="271"/>
      <c r="Z490" s="271"/>
      <c r="AB490" s="273" t="str">
        <f t="shared" si="92"/>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90"/>
        <v/>
      </c>
      <c r="T491" s="222" t="str">
        <f ca="1">IF(B491="","",IF(ISERROR(MATCH($J491,SorP!$B$1:$B$6230,0)),"",INDIRECT("'SorP'!$A$"&amp;MATCH($J491,SorP!$B$1:$B$6230,0))))</f>
        <v/>
      </c>
      <c r="U491" s="238"/>
      <c r="V491" s="270" t="e">
        <f>IF(C491="",NA(),MATCH($B491&amp;$C491,'Smelter Look-up'!$J:$J,0))</f>
        <v>#N/A</v>
      </c>
      <c r="W491" s="271"/>
      <c r="X491" s="271">
        <f t="shared" ca="1" si="91"/>
        <v>0</v>
      </c>
      <c r="Y491" s="271"/>
      <c r="Z491" s="271"/>
      <c r="AB491" s="273" t="str">
        <f t="shared" si="92"/>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90"/>
        <v/>
      </c>
      <c r="T492" s="222" t="str">
        <f ca="1">IF(B492="","",IF(ISERROR(MATCH($J492,SorP!$B$1:$B$6230,0)),"",INDIRECT("'SorP'!$A$"&amp;MATCH($J492,SorP!$B$1:$B$6230,0))))</f>
        <v/>
      </c>
      <c r="U492" s="238"/>
      <c r="V492" s="270" t="e">
        <f>IF(C492="",NA(),MATCH($B492&amp;$C492,'Smelter Look-up'!$J:$J,0))</f>
        <v>#N/A</v>
      </c>
      <c r="W492" s="271"/>
      <c r="X492" s="271">
        <f t="shared" ca="1" si="91"/>
        <v>0</v>
      </c>
      <c r="Y492" s="271"/>
      <c r="Z492" s="271"/>
      <c r="AB492" s="273" t="str">
        <f t="shared" si="92"/>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90"/>
        <v/>
      </c>
      <c r="T493" s="222" t="str">
        <f ca="1">IF(B493="","",IF(ISERROR(MATCH($J493,SorP!$B$1:$B$6230,0)),"",INDIRECT("'SorP'!$A$"&amp;MATCH($J493,SorP!$B$1:$B$6230,0))))</f>
        <v/>
      </c>
      <c r="U493" s="238"/>
      <c r="V493" s="270" t="e">
        <f>IF(C493="",NA(),MATCH($B493&amp;$C493,'Smelter Look-up'!$J:$J,0))</f>
        <v>#N/A</v>
      </c>
      <c r="W493" s="271"/>
      <c r="X493" s="271">
        <f t="shared" ca="1" si="91"/>
        <v>0</v>
      </c>
      <c r="Y493" s="271"/>
      <c r="Z493" s="271"/>
      <c r="AB493" s="273" t="str">
        <f t="shared" si="92"/>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90"/>
        <v/>
      </c>
      <c r="T494" s="222" t="str">
        <f ca="1">IF(B494="","",IF(ISERROR(MATCH($J494,SorP!$B$1:$B$6230,0)),"",INDIRECT("'SorP'!$A$"&amp;MATCH($J494,SorP!$B$1:$B$6230,0))))</f>
        <v/>
      </c>
      <c r="U494" s="238"/>
      <c r="V494" s="270" t="e">
        <f>IF(C494="",NA(),MATCH($B494&amp;$C494,'Smelter Look-up'!$J:$J,0))</f>
        <v>#N/A</v>
      </c>
      <c r="W494" s="271"/>
      <c r="X494" s="271">
        <f t="shared" ca="1" si="91"/>
        <v>0</v>
      </c>
      <c r="Y494" s="271"/>
      <c r="Z494" s="271"/>
      <c r="AB494" s="273" t="str">
        <f t="shared" si="92"/>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90"/>
        <v/>
      </c>
      <c r="T495" s="222" t="str">
        <f ca="1">IF(B495="","",IF(ISERROR(MATCH($J495,SorP!$B$1:$B$6230,0)),"",INDIRECT("'SorP'!$A$"&amp;MATCH($J495,SorP!$B$1:$B$6230,0))))</f>
        <v/>
      </c>
      <c r="U495" s="238"/>
      <c r="V495" s="270" t="e">
        <f>IF(C495="",NA(),MATCH($B495&amp;$C495,'Smelter Look-up'!$J:$J,0))</f>
        <v>#N/A</v>
      </c>
      <c r="W495" s="271"/>
      <c r="X495" s="271">
        <f t="shared" ca="1" si="91"/>
        <v>0</v>
      </c>
      <c r="Y495" s="271"/>
      <c r="Z495" s="271"/>
      <c r="AB495" s="273" t="str">
        <f t="shared" si="92"/>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90"/>
        <v/>
      </c>
      <c r="T496" s="222" t="str">
        <f ca="1">IF(B496="","",IF(ISERROR(MATCH($J496,SorP!$B$1:$B$6230,0)),"",INDIRECT("'SorP'!$A$"&amp;MATCH($J496,SorP!$B$1:$B$6230,0))))</f>
        <v/>
      </c>
      <c r="U496" s="238"/>
      <c r="V496" s="270" t="e">
        <f>IF(C496="",NA(),MATCH($B496&amp;$C496,'Smelter Look-up'!$J:$J,0))</f>
        <v>#N/A</v>
      </c>
      <c r="W496" s="271"/>
      <c r="X496" s="271">
        <f t="shared" ca="1" si="91"/>
        <v>0</v>
      </c>
      <c r="Y496" s="271"/>
      <c r="Z496" s="271"/>
      <c r="AB496" s="273" t="str">
        <f t="shared" si="92"/>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90"/>
        <v/>
      </c>
      <c r="T497" s="222" t="str">
        <f ca="1">IF(B497="","",IF(ISERROR(MATCH($J497,SorP!$B$1:$B$6230,0)),"",INDIRECT("'SorP'!$A$"&amp;MATCH($J497,SorP!$B$1:$B$6230,0))))</f>
        <v/>
      </c>
      <c r="U497" s="238"/>
      <c r="V497" s="270" t="e">
        <f>IF(C497="",NA(),MATCH($B497&amp;$C497,'Smelter Look-up'!$J:$J,0))</f>
        <v>#N/A</v>
      </c>
      <c r="W497" s="271"/>
      <c r="X497" s="271">
        <f t="shared" ca="1" si="91"/>
        <v>0</v>
      </c>
      <c r="Y497" s="271"/>
      <c r="Z497" s="271"/>
      <c r="AB497" s="273" t="str">
        <f t="shared" si="92"/>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90"/>
        <v/>
      </c>
      <c r="T498" s="222" t="str">
        <f ca="1">IF(B498="","",IF(ISERROR(MATCH($J498,SorP!$B$1:$B$6230,0)),"",INDIRECT("'SorP'!$A$"&amp;MATCH($J498,SorP!$B$1:$B$6230,0))))</f>
        <v/>
      </c>
      <c r="U498" s="238"/>
      <c r="V498" s="270" t="e">
        <f>IF(C498="",NA(),MATCH($B498&amp;$C498,'Smelter Look-up'!$J:$J,0))</f>
        <v>#N/A</v>
      </c>
      <c r="W498" s="271"/>
      <c r="X498" s="271">
        <f t="shared" ca="1" si="91"/>
        <v>0</v>
      </c>
      <c r="Y498" s="271"/>
      <c r="Z498" s="271"/>
      <c r="AB498" s="273" t="str">
        <f t="shared" si="92"/>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90"/>
        <v/>
      </c>
      <c r="T499" s="222" t="str">
        <f ca="1">IF(B499="","",IF(ISERROR(MATCH($J499,SorP!$B$1:$B$6230,0)),"",INDIRECT("'SorP'!$A$"&amp;MATCH($J499,SorP!$B$1:$B$6230,0))))</f>
        <v/>
      </c>
      <c r="U499" s="238"/>
      <c r="V499" s="270" t="e">
        <f>IF(C499="",NA(),MATCH($B499&amp;$C499,'Smelter Look-up'!$J:$J,0))</f>
        <v>#N/A</v>
      </c>
      <c r="W499" s="271"/>
      <c r="X499" s="271">
        <f t="shared" ca="1" si="91"/>
        <v>0</v>
      </c>
      <c r="Y499" s="271"/>
      <c r="Z499" s="271"/>
      <c r="AB499" s="273" t="str">
        <f t="shared" si="92"/>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90"/>
        <v/>
      </c>
      <c r="T500" s="222" t="str">
        <f ca="1">IF(B500="","",IF(ISERROR(MATCH($J500,SorP!$B$1:$B$6230,0)),"",INDIRECT("'SorP'!$A$"&amp;MATCH($J500,SorP!$B$1:$B$6230,0))))</f>
        <v/>
      </c>
      <c r="U500" s="238"/>
      <c r="V500" s="270" t="e">
        <f>IF(C500="",NA(),MATCH($B500&amp;$C500,'Smelter Look-up'!$J:$J,0))</f>
        <v>#N/A</v>
      </c>
      <c r="W500" s="271"/>
      <c r="X500" s="271">
        <f t="shared" ca="1" si="91"/>
        <v>0</v>
      </c>
      <c r="Y500" s="271"/>
      <c r="Z500" s="271"/>
      <c r="AB500" s="273" t="str">
        <f t="shared" si="92"/>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90"/>
        <v/>
      </c>
      <c r="T501" s="222" t="str">
        <f ca="1">IF(B501="","",IF(ISERROR(MATCH($J501,SorP!$B$1:$B$6230,0)),"",INDIRECT("'SorP'!$A$"&amp;MATCH($J501,SorP!$B$1:$B$6230,0))))</f>
        <v/>
      </c>
      <c r="U501" s="238"/>
      <c r="V501" s="270" t="e">
        <f>IF(C501="",NA(),MATCH($B501&amp;$C501,'Smelter Look-up'!$J:$J,0))</f>
        <v>#N/A</v>
      </c>
      <c r="W501" s="271"/>
      <c r="X501" s="271">
        <f t="shared" ca="1" si="91"/>
        <v>0</v>
      </c>
      <c r="Y501" s="271"/>
      <c r="Z501" s="271"/>
      <c r="AB501" s="273" t="str">
        <f t="shared" si="92"/>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90"/>
        <v/>
      </c>
      <c r="T502" s="222" t="str">
        <f ca="1">IF(B502="","",IF(ISERROR(MATCH($J502,SorP!$B$1:$B$6230,0)),"",INDIRECT("'SorP'!$A$"&amp;MATCH($J502,SorP!$B$1:$B$6230,0))))</f>
        <v/>
      </c>
      <c r="U502" s="238"/>
      <c r="V502" s="270" t="e">
        <f>IF(C502="",NA(),MATCH($B502&amp;$C502,'Smelter Look-up'!$J:$J,0))</f>
        <v>#N/A</v>
      </c>
      <c r="W502" s="271"/>
      <c r="X502" s="271">
        <f t="shared" ca="1" si="91"/>
        <v>0</v>
      </c>
      <c r="Y502" s="271"/>
      <c r="Z502" s="271"/>
      <c r="AB502" s="273" t="str">
        <f t="shared" si="92"/>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90"/>
        <v/>
      </c>
      <c r="T503" s="222" t="str">
        <f ca="1">IF(B503="","",IF(ISERROR(MATCH($J503,SorP!$B$1:$B$6230,0)),"",INDIRECT("'SorP'!$A$"&amp;MATCH($J503,SorP!$B$1:$B$6230,0))))</f>
        <v/>
      </c>
      <c r="U503" s="238"/>
      <c r="V503" s="270" t="e">
        <f>IF(C503="",NA(),MATCH($B503&amp;$C503,'Smelter Look-up'!$J:$J,0))</f>
        <v>#N/A</v>
      </c>
      <c r="W503" s="271"/>
      <c r="X503" s="271">
        <f t="shared" ca="1" si="91"/>
        <v>0</v>
      </c>
      <c r="Y503" s="271"/>
      <c r="Z503" s="271"/>
      <c r="AB503" s="273" t="str">
        <f t="shared" si="92"/>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90"/>
        <v/>
      </c>
      <c r="T504" s="222" t="str">
        <f ca="1">IF(B504="","",IF(ISERROR(MATCH($J504,SorP!$B$1:$B$6230,0)),"",INDIRECT("'SorP'!$A$"&amp;MATCH($J504,SorP!$B$1:$B$6230,0))))</f>
        <v/>
      </c>
      <c r="U504" s="238"/>
      <c r="V504" s="270" t="e">
        <f>IF(C504="",NA(),MATCH($B504&amp;$C504,'Smelter Look-up'!$J:$J,0))</f>
        <v>#N/A</v>
      </c>
      <c r="W504" s="271"/>
      <c r="X504" s="271">
        <f t="shared" ca="1" si="91"/>
        <v>0</v>
      </c>
      <c r="Y504" s="271"/>
      <c r="Z504" s="271"/>
      <c r="AB504" s="273" t="str">
        <f t="shared" si="92"/>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ref="S505:S535" ca="1" si="93">IF(B505="","",IF(ISERROR(MATCH($E505,CL,0)),"Unknown",INDIRECT("'C'!$A$"&amp;MATCH($E505,CL,0)+1)))</f>
        <v/>
      </c>
      <c r="T505" s="222" t="str">
        <f ca="1">IF(B505="","",IF(ISERROR(MATCH($J505,SorP!$B$1:$B$6230,0)),"",INDIRECT("'SorP'!$A$"&amp;MATCH($J505,SorP!$B$1:$B$6230,0))))</f>
        <v/>
      </c>
      <c r="U505" s="238"/>
      <c r="V505" s="270" t="e">
        <f>IF(C505="",NA(),MATCH($B505&amp;$C505,'Smelter Look-up'!$J:$J,0))</f>
        <v>#N/A</v>
      </c>
      <c r="W505" s="271"/>
      <c r="X505" s="271">
        <f t="shared" ref="X505:X535" ca="1" si="94">IF(AND(C505="Smelter not listed",OR(LEN(D505)=0,LEN(E505)=0)),1,0)</f>
        <v>0</v>
      </c>
      <c r="Y505" s="271"/>
      <c r="Z505" s="271"/>
      <c r="AB505" s="273" t="str">
        <f t="shared" ref="AB505:AB535" si="95">B505&amp;C505</f>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93"/>
        <v/>
      </c>
      <c r="T506" s="222" t="str">
        <f ca="1">IF(B506="","",IF(ISERROR(MATCH($J506,SorP!$B$1:$B$6230,0)),"",INDIRECT("'SorP'!$A$"&amp;MATCH($J506,SorP!$B$1:$B$6230,0))))</f>
        <v/>
      </c>
      <c r="U506" s="238"/>
      <c r="V506" s="270" t="e">
        <f>IF(C506="",NA(),MATCH($B506&amp;$C506,'Smelter Look-up'!$J:$J,0))</f>
        <v>#N/A</v>
      </c>
      <c r="W506" s="271"/>
      <c r="X506" s="271">
        <f t="shared" ca="1" si="94"/>
        <v>0</v>
      </c>
      <c r="Y506" s="271"/>
      <c r="Z506" s="271"/>
      <c r="AB506" s="273" t="str">
        <f t="shared" si="95"/>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93"/>
        <v/>
      </c>
      <c r="T507" s="222" t="str">
        <f ca="1">IF(B507="","",IF(ISERROR(MATCH($J507,SorP!$B$1:$B$6230,0)),"",INDIRECT("'SorP'!$A$"&amp;MATCH($J507,SorP!$B$1:$B$6230,0))))</f>
        <v/>
      </c>
      <c r="U507" s="238"/>
      <c r="V507" s="270" t="e">
        <f>IF(C507="",NA(),MATCH($B507&amp;$C507,'Smelter Look-up'!$J:$J,0))</f>
        <v>#N/A</v>
      </c>
      <c r="W507" s="271"/>
      <c r="X507" s="271">
        <f t="shared" ca="1" si="94"/>
        <v>0</v>
      </c>
      <c r="Y507" s="271"/>
      <c r="Z507" s="271"/>
      <c r="AB507" s="273" t="str">
        <f t="shared" si="95"/>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93"/>
        <v/>
      </c>
      <c r="T508" s="222" t="str">
        <f ca="1">IF(B508="","",IF(ISERROR(MATCH($J508,SorP!$B$1:$B$6230,0)),"",INDIRECT("'SorP'!$A$"&amp;MATCH($J508,SorP!$B$1:$B$6230,0))))</f>
        <v/>
      </c>
      <c r="U508" s="238"/>
      <c r="V508" s="270" t="e">
        <f>IF(C508="",NA(),MATCH($B508&amp;$C508,'Smelter Look-up'!$J:$J,0))</f>
        <v>#N/A</v>
      </c>
      <c r="W508" s="271"/>
      <c r="X508" s="271">
        <f t="shared" ca="1" si="94"/>
        <v>0</v>
      </c>
      <c r="Y508" s="271"/>
      <c r="Z508" s="271"/>
      <c r="AB508" s="273" t="str">
        <f t="shared" si="95"/>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93"/>
        <v/>
      </c>
      <c r="T509" s="222" t="str">
        <f ca="1">IF(B509="","",IF(ISERROR(MATCH($J509,SorP!$B$1:$B$6230,0)),"",INDIRECT("'SorP'!$A$"&amp;MATCH($J509,SorP!$B$1:$B$6230,0))))</f>
        <v/>
      </c>
      <c r="U509" s="238"/>
      <c r="V509" s="270" t="e">
        <f>IF(C509="",NA(),MATCH($B509&amp;$C509,'Smelter Look-up'!$J:$J,0))</f>
        <v>#N/A</v>
      </c>
      <c r="W509" s="271"/>
      <c r="X509" s="271">
        <f t="shared" ca="1" si="94"/>
        <v>0</v>
      </c>
      <c r="Y509" s="271"/>
      <c r="Z509" s="271"/>
      <c r="AB509" s="273" t="str">
        <f t="shared" si="95"/>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93"/>
        <v/>
      </c>
      <c r="T510" s="222" t="str">
        <f ca="1">IF(B510="","",IF(ISERROR(MATCH($J510,SorP!$B$1:$B$6230,0)),"",INDIRECT("'SorP'!$A$"&amp;MATCH($J510,SorP!$B$1:$B$6230,0))))</f>
        <v/>
      </c>
      <c r="U510" s="238"/>
      <c r="V510" s="270" t="e">
        <f>IF(C510="",NA(),MATCH($B510&amp;$C510,'Smelter Look-up'!$J:$J,0))</f>
        <v>#N/A</v>
      </c>
      <c r="W510" s="271"/>
      <c r="X510" s="271">
        <f t="shared" ca="1" si="94"/>
        <v>0</v>
      </c>
      <c r="Y510" s="271"/>
      <c r="Z510" s="271"/>
      <c r="AB510" s="273" t="str">
        <f t="shared" si="95"/>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93"/>
        <v/>
      </c>
      <c r="T511" s="222" t="str">
        <f ca="1">IF(B511="","",IF(ISERROR(MATCH($J511,SorP!$B$1:$B$6230,0)),"",INDIRECT("'SorP'!$A$"&amp;MATCH($J511,SorP!$B$1:$B$6230,0))))</f>
        <v/>
      </c>
      <c r="U511" s="238"/>
      <c r="V511" s="270" t="e">
        <f>IF(C511="",NA(),MATCH($B511&amp;$C511,'Smelter Look-up'!$J:$J,0))</f>
        <v>#N/A</v>
      </c>
      <c r="W511" s="271"/>
      <c r="X511" s="271">
        <f t="shared" ca="1" si="94"/>
        <v>0</v>
      </c>
      <c r="Y511" s="271"/>
      <c r="Z511" s="271"/>
      <c r="AB511" s="273" t="str">
        <f t="shared" si="95"/>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93"/>
        <v/>
      </c>
      <c r="T512" s="222" t="str">
        <f ca="1">IF(B512="","",IF(ISERROR(MATCH($J512,SorP!$B$1:$B$6230,0)),"",INDIRECT("'SorP'!$A$"&amp;MATCH($J512,SorP!$B$1:$B$6230,0))))</f>
        <v/>
      </c>
      <c r="U512" s="238"/>
      <c r="V512" s="270" t="e">
        <f>IF(C512="",NA(),MATCH($B512&amp;$C512,'Smelter Look-up'!$J:$J,0))</f>
        <v>#N/A</v>
      </c>
      <c r="W512" s="271"/>
      <c r="X512" s="271">
        <f t="shared" ca="1" si="94"/>
        <v>0</v>
      </c>
      <c r="Y512" s="271"/>
      <c r="Z512" s="271"/>
      <c r="AB512" s="273" t="str">
        <f t="shared" si="95"/>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93"/>
        <v/>
      </c>
      <c r="T513" s="222" t="str">
        <f ca="1">IF(B513="","",IF(ISERROR(MATCH($J513,SorP!$B$1:$B$6230,0)),"",INDIRECT("'SorP'!$A$"&amp;MATCH($J513,SorP!$B$1:$B$6230,0))))</f>
        <v/>
      </c>
      <c r="U513" s="238"/>
      <c r="V513" s="270" t="e">
        <f>IF(C513="",NA(),MATCH($B513&amp;$C513,'Smelter Look-up'!$J:$J,0))</f>
        <v>#N/A</v>
      </c>
      <c r="W513" s="271"/>
      <c r="X513" s="271">
        <f t="shared" ca="1" si="94"/>
        <v>0</v>
      </c>
      <c r="Y513" s="271"/>
      <c r="Z513" s="271"/>
      <c r="AB513" s="273" t="str">
        <f t="shared" si="95"/>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93"/>
        <v/>
      </c>
      <c r="T514" s="222" t="str">
        <f ca="1">IF(B514="","",IF(ISERROR(MATCH($J514,SorP!$B$1:$B$6230,0)),"",INDIRECT("'SorP'!$A$"&amp;MATCH($J514,SorP!$B$1:$B$6230,0))))</f>
        <v/>
      </c>
      <c r="U514" s="238"/>
      <c r="V514" s="270" t="e">
        <f>IF(C514="",NA(),MATCH($B514&amp;$C514,'Smelter Look-up'!$J:$J,0))</f>
        <v>#N/A</v>
      </c>
      <c r="W514" s="271"/>
      <c r="X514" s="271">
        <f t="shared" ca="1" si="94"/>
        <v>0</v>
      </c>
      <c r="Y514" s="271"/>
      <c r="Z514" s="271"/>
      <c r="AB514" s="273" t="str">
        <f t="shared" si="95"/>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93"/>
        <v/>
      </c>
      <c r="T515" s="222" t="str">
        <f ca="1">IF(B515="","",IF(ISERROR(MATCH($J515,SorP!$B$1:$B$6230,0)),"",INDIRECT("'SorP'!$A$"&amp;MATCH($J515,SorP!$B$1:$B$6230,0))))</f>
        <v/>
      </c>
      <c r="U515" s="238"/>
      <c r="V515" s="270" t="e">
        <f>IF(C515="",NA(),MATCH($B515&amp;$C515,'Smelter Look-up'!$J:$J,0))</f>
        <v>#N/A</v>
      </c>
      <c r="W515" s="271"/>
      <c r="X515" s="271">
        <f t="shared" ca="1" si="94"/>
        <v>0</v>
      </c>
      <c r="Y515" s="271"/>
      <c r="Z515" s="271"/>
      <c r="AB515" s="273" t="str">
        <f t="shared" si="95"/>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93"/>
        <v/>
      </c>
      <c r="T516" s="222" t="str">
        <f ca="1">IF(B516="","",IF(ISERROR(MATCH($J516,SorP!$B$1:$B$6230,0)),"",INDIRECT("'SorP'!$A$"&amp;MATCH($J516,SorP!$B$1:$B$6230,0))))</f>
        <v/>
      </c>
      <c r="U516" s="238"/>
      <c r="V516" s="270" t="e">
        <f>IF(C516="",NA(),MATCH($B516&amp;$C516,'Smelter Look-up'!$J:$J,0))</f>
        <v>#N/A</v>
      </c>
      <c r="W516" s="271"/>
      <c r="X516" s="271">
        <f t="shared" ca="1" si="94"/>
        <v>0</v>
      </c>
      <c r="Y516" s="271"/>
      <c r="Z516" s="271"/>
      <c r="AB516" s="273" t="str">
        <f t="shared" si="95"/>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ca="1" si="93"/>
        <v/>
      </c>
      <c r="T517" s="222" t="str">
        <f ca="1">IF(B517="","",IF(ISERROR(MATCH($J517,SorP!$B$1:$B$6230,0)),"",INDIRECT("'SorP'!$A$"&amp;MATCH($J517,SorP!$B$1:$B$6230,0))))</f>
        <v/>
      </c>
      <c r="U517" s="238"/>
      <c r="V517" s="270" t="e">
        <f>IF(C517="",NA(),MATCH($B517&amp;$C517,'Smelter Look-up'!$J:$J,0))</f>
        <v>#N/A</v>
      </c>
      <c r="W517" s="271"/>
      <c r="X517" s="271">
        <f t="shared" ca="1" si="94"/>
        <v>0</v>
      </c>
      <c r="Y517" s="271"/>
      <c r="Z517" s="271"/>
      <c r="AB517" s="273" t="str">
        <f t="shared" si="95"/>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ca="1" si="93"/>
        <v/>
      </c>
      <c r="T518" s="222" t="str">
        <f ca="1">IF(B518="","",IF(ISERROR(MATCH($J518,SorP!$B$1:$B$6230,0)),"",INDIRECT("'SorP'!$A$"&amp;MATCH($J518,SorP!$B$1:$B$6230,0))))</f>
        <v/>
      </c>
      <c r="U518" s="238"/>
      <c r="V518" s="270" t="e">
        <f>IF(C518="",NA(),MATCH($B518&amp;$C518,'Smelter Look-up'!$J:$J,0))</f>
        <v>#N/A</v>
      </c>
      <c r="W518" s="271"/>
      <c r="X518" s="271">
        <f t="shared" ca="1" si="94"/>
        <v>0</v>
      </c>
      <c r="Y518" s="271"/>
      <c r="Z518" s="271"/>
      <c r="AB518" s="273" t="str">
        <f t="shared" si="95"/>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93"/>
        <v/>
      </c>
      <c r="T519" s="222" t="str">
        <f ca="1">IF(B519="","",IF(ISERROR(MATCH($J519,SorP!$B$1:$B$6230,0)),"",INDIRECT("'SorP'!$A$"&amp;MATCH($J519,SorP!$B$1:$B$6230,0))))</f>
        <v/>
      </c>
      <c r="U519" s="238"/>
      <c r="V519" s="270" t="e">
        <f>IF(C519="",NA(),MATCH($B519&amp;$C519,'Smelter Look-up'!$J:$J,0))</f>
        <v>#N/A</v>
      </c>
      <c r="W519" s="271"/>
      <c r="X519" s="271">
        <f t="shared" ca="1" si="94"/>
        <v>0</v>
      </c>
      <c r="Y519" s="271"/>
      <c r="Z519" s="271"/>
      <c r="AB519" s="273" t="str">
        <f t="shared" si="95"/>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93"/>
        <v/>
      </c>
      <c r="T520" s="222" t="str">
        <f ca="1">IF(B520="","",IF(ISERROR(MATCH($J520,SorP!$B$1:$B$6230,0)),"",INDIRECT("'SorP'!$A$"&amp;MATCH($J520,SorP!$B$1:$B$6230,0))))</f>
        <v/>
      </c>
      <c r="U520" s="238"/>
      <c r="V520" s="270" t="e">
        <f>IF(C520="",NA(),MATCH($B520&amp;$C520,'Smelter Look-up'!$J:$J,0))</f>
        <v>#N/A</v>
      </c>
      <c r="W520" s="271"/>
      <c r="X520" s="271">
        <f t="shared" ca="1" si="94"/>
        <v>0</v>
      </c>
      <c r="Y520" s="271"/>
      <c r="Z520" s="271"/>
      <c r="AB520" s="273" t="str">
        <f t="shared" si="95"/>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93"/>
        <v/>
      </c>
      <c r="T521" s="222" t="str">
        <f ca="1">IF(B521="","",IF(ISERROR(MATCH($J521,SorP!$B$1:$B$6230,0)),"",INDIRECT("'SorP'!$A$"&amp;MATCH($J521,SorP!$B$1:$B$6230,0))))</f>
        <v/>
      </c>
      <c r="U521" s="238"/>
      <c r="V521" s="270" t="e">
        <f>IF(C521="",NA(),MATCH($B521&amp;$C521,'Smelter Look-up'!$J:$J,0))</f>
        <v>#N/A</v>
      </c>
      <c r="W521" s="271"/>
      <c r="X521" s="271">
        <f t="shared" ca="1" si="94"/>
        <v>0</v>
      </c>
      <c r="Y521" s="271"/>
      <c r="Z521" s="271"/>
      <c r="AB521" s="273" t="str">
        <f t="shared" si="95"/>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93"/>
        <v/>
      </c>
      <c r="T522" s="222" t="str">
        <f ca="1">IF(B522="","",IF(ISERROR(MATCH($J522,SorP!$B$1:$B$6230,0)),"",INDIRECT("'SorP'!$A$"&amp;MATCH($J522,SorP!$B$1:$B$6230,0))))</f>
        <v/>
      </c>
      <c r="U522" s="238"/>
      <c r="V522" s="270" t="e">
        <f>IF(C522="",NA(),MATCH($B522&amp;$C522,'Smelter Look-up'!$J:$J,0))</f>
        <v>#N/A</v>
      </c>
      <c r="W522" s="271"/>
      <c r="X522" s="271">
        <f t="shared" ca="1" si="94"/>
        <v>0</v>
      </c>
      <c r="Y522" s="271"/>
      <c r="Z522" s="271"/>
      <c r="AB522" s="273" t="str">
        <f t="shared" si="95"/>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93"/>
        <v/>
      </c>
      <c r="T523" s="222" t="str">
        <f ca="1">IF(B523="","",IF(ISERROR(MATCH($J523,SorP!$B$1:$B$6230,0)),"",INDIRECT("'SorP'!$A$"&amp;MATCH($J523,SorP!$B$1:$B$6230,0))))</f>
        <v/>
      </c>
      <c r="U523" s="238"/>
      <c r="V523" s="270" t="e">
        <f>IF(C523="",NA(),MATCH($B523&amp;$C523,'Smelter Look-up'!$J:$J,0))</f>
        <v>#N/A</v>
      </c>
      <c r="W523" s="271"/>
      <c r="X523" s="271">
        <f t="shared" ca="1" si="94"/>
        <v>0</v>
      </c>
      <c r="Y523" s="271"/>
      <c r="Z523" s="271"/>
      <c r="AB523" s="273" t="str">
        <f t="shared" si="95"/>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93"/>
        <v/>
      </c>
      <c r="T524" s="222" t="str">
        <f ca="1">IF(B524="","",IF(ISERROR(MATCH($J524,SorP!$B$1:$B$6230,0)),"",INDIRECT("'SorP'!$A$"&amp;MATCH($J524,SorP!$B$1:$B$6230,0))))</f>
        <v/>
      </c>
      <c r="U524" s="238"/>
      <c r="V524" s="270" t="e">
        <f>IF(C524="",NA(),MATCH($B524&amp;$C524,'Smelter Look-up'!$J:$J,0))</f>
        <v>#N/A</v>
      </c>
      <c r="W524" s="271"/>
      <c r="X524" s="271">
        <f t="shared" ca="1" si="94"/>
        <v>0</v>
      </c>
      <c r="Y524" s="271"/>
      <c r="Z524" s="271"/>
      <c r="AB524" s="273" t="str">
        <f t="shared" si="95"/>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93"/>
        <v/>
      </c>
      <c r="T525" s="222" t="str">
        <f ca="1">IF(B525="","",IF(ISERROR(MATCH($J525,SorP!$B$1:$B$6230,0)),"",INDIRECT("'SorP'!$A$"&amp;MATCH($J525,SorP!$B$1:$B$6230,0))))</f>
        <v/>
      </c>
      <c r="U525" s="238"/>
      <c r="V525" s="270" t="e">
        <f>IF(C525="",NA(),MATCH($B525&amp;$C525,'Smelter Look-up'!$J:$J,0))</f>
        <v>#N/A</v>
      </c>
      <c r="W525" s="271"/>
      <c r="X525" s="271">
        <f t="shared" ca="1" si="94"/>
        <v>0</v>
      </c>
      <c r="Y525" s="271"/>
      <c r="Z525" s="271"/>
      <c r="AB525" s="273" t="str">
        <f t="shared" si="95"/>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93"/>
        <v/>
      </c>
      <c r="T526" s="222" t="str">
        <f ca="1">IF(B526="","",IF(ISERROR(MATCH($J526,SorP!$B$1:$B$6230,0)),"",INDIRECT("'SorP'!$A$"&amp;MATCH($J526,SorP!$B$1:$B$6230,0))))</f>
        <v/>
      </c>
      <c r="U526" s="238"/>
      <c r="V526" s="270" t="e">
        <f>IF(C526="",NA(),MATCH($B526&amp;$C526,'Smelter Look-up'!$J:$J,0))</f>
        <v>#N/A</v>
      </c>
      <c r="W526" s="271"/>
      <c r="X526" s="271">
        <f t="shared" ca="1" si="94"/>
        <v>0</v>
      </c>
      <c r="Y526" s="271"/>
      <c r="Z526" s="271"/>
      <c r="AB526" s="273" t="str">
        <f t="shared" si="95"/>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93"/>
        <v/>
      </c>
      <c r="T527" s="222" t="str">
        <f ca="1">IF(B527="","",IF(ISERROR(MATCH($J527,SorP!$B$1:$B$6230,0)),"",INDIRECT("'SorP'!$A$"&amp;MATCH($J527,SorP!$B$1:$B$6230,0))))</f>
        <v/>
      </c>
      <c r="U527" s="238"/>
      <c r="V527" s="270" t="e">
        <f>IF(C527="",NA(),MATCH($B527&amp;$C527,'Smelter Look-up'!$J:$J,0))</f>
        <v>#N/A</v>
      </c>
      <c r="W527" s="271"/>
      <c r="X527" s="271">
        <f t="shared" ca="1" si="94"/>
        <v>0</v>
      </c>
      <c r="Y527" s="271"/>
      <c r="Z527" s="271"/>
      <c r="AB527" s="273" t="str">
        <f t="shared" si="95"/>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93"/>
        <v/>
      </c>
      <c r="T528" s="222" t="str">
        <f ca="1">IF(B528="","",IF(ISERROR(MATCH($J528,SorP!$B$1:$B$6230,0)),"",INDIRECT("'SorP'!$A$"&amp;MATCH($J528,SorP!$B$1:$B$6230,0))))</f>
        <v/>
      </c>
      <c r="U528" s="238"/>
      <c r="V528" s="270" t="e">
        <f>IF(C528="",NA(),MATCH($B528&amp;$C528,'Smelter Look-up'!$J:$J,0))</f>
        <v>#N/A</v>
      </c>
      <c r="W528" s="271"/>
      <c r="X528" s="271">
        <f t="shared" ca="1" si="94"/>
        <v>0</v>
      </c>
      <c r="Y528" s="271"/>
      <c r="Z528" s="271"/>
      <c r="AB528" s="273" t="str">
        <f t="shared" si="95"/>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93"/>
        <v/>
      </c>
      <c r="T529" s="222" t="str">
        <f ca="1">IF(B529="","",IF(ISERROR(MATCH($J529,SorP!$B$1:$B$6230,0)),"",INDIRECT("'SorP'!$A$"&amp;MATCH($J529,SorP!$B$1:$B$6230,0))))</f>
        <v/>
      </c>
      <c r="U529" s="238"/>
      <c r="V529" s="270" t="e">
        <f>IF(C529="",NA(),MATCH($B529&amp;$C529,'Smelter Look-up'!$J:$J,0))</f>
        <v>#N/A</v>
      </c>
      <c r="W529" s="271"/>
      <c r="X529" s="271">
        <f t="shared" ca="1" si="94"/>
        <v>0</v>
      </c>
      <c r="Y529" s="271"/>
      <c r="Z529" s="271"/>
      <c r="AB529" s="273" t="str">
        <f t="shared" si="95"/>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93"/>
        <v/>
      </c>
      <c r="T530" s="222" t="str">
        <f ca="1">IF(B530="","",IF(ISERROR(MATCH($J530,SorP!$B$1:$B$6230,0)),"",INDIRECT("'SorP'!$A$"&amp;MATCH($J530,SorP!$B$1:$B$6230,0))))</f>
        <v/>
      </c>
      <c r="U530" s="238"/>
      <c r="V530" s="270" t="e">
        <f>IF(C530="",NA(),MATCH($B530&amp;$C530,'Smelter Look-up'!$J:$J,0))</f>
        <v>#N/A</v>
      </c>
      <c r="W530" s="271"/>
      <c r="X530" s="271">
        <f t="shared" ca="1" si="94"/>
        <v>0</v>
      </c>
      <c r="Y530" s="271"/>
      <c r="Z530" s="271"/>
      <c r="AB530" s="273" t="str">
        <f t="shared" si="95"/>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93"/>
        <v/>
      </c>
      <c r="T531" s="222" t="str">
        <f ca="1">IF(B531="","",IF(ISERROR(MATCH($J531,SorP!$B$1:$B$6230,0)),"",INDIRECT("'SorP'!$A$"&amp;MATCH($J531,SorP!$B$1:$B$6230,0))))</f>
        <v/>
      </c>
      <c r="U531" s="238"/>
      <c r="V531" s="270" t="e">
        <f>IF(C531="",NA(),MATCH($B531&amp;$C531,'Smelter Look-up'!$J:$J,0))</f>
        <v>#N/A</v>
      </c>
      <c r="W531" s="271"/>
      <c r="X531" s="271">
        <f t="shared" ca="1" si="94"/>
        <v>0</v>
      </c>
      <c r="Y531" s="271"/>
      <c r="Z531" s="271"/>
      <c r="AB531" s="273" t="str">
        <f t="shared" si="95"/>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93"/>
        <v/>
      </c>
      <c r="T532" s="222" t="str">
        <f ca="1">IF(B532="","",IF(ISERROR(MATCH($J532,SorP!$B$1:$B$6230,0)),"",INDIRECT("'SorP'!$A$"&amp;MATCH($J532,SorP!$B$1:$B$6230,0))))</f>
        <v/>
      </c>
      <c r="U532" s="238"/>
      <c r="V532" s="270" t="e">
        <f>IF(C532="",NA(),MATCH($B532&amp;$C532,'Smelter Look-up'!$J:$J,0))</f>
        <v>#N/A</v>
      </c>
      <c r="W532" s="271"/>
      <c r="X532" s="271">
        <f t="shared" ca="1" si="94"/>
        <v>0</v>
      </c>
      <c r="Y532" s="271"/>
      <c r="Z532" s="271"/>
      <c r="AB532" s="273" t="str">
        <f t="shared" si="95"/>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93"/>
        <v/>
      </c>
      <c r="T533" s="222" t="str">
        <f ca="1">IF(B533="","",IF(ISERROR(MATCH($J533,SorP!$B$1:$B$6230,0)),"",INDIRECT("'SorP'!$A$"&amp;MATCH($J533,SorP!$B$1:$B$6230,0))))</f>
        <v/>
      </c>
      <c r="U533" s="238"/>
      <c r="V533" s="270" t="e">
        <f>IF(C533="",NA(),MATCH($B533&amp;$C533,'Smelter Look-up'!$J:$J,0))</f>
        <v>#N/A</v>
      </c>
      <c r="W533" s="271"/>
      <c r="X533" s="271">
        <f t="shared" ca="1" si="94"/>
        <v>0</v>
      </c>
      <c r="Y533" s="271"/>
      <c r="Z533" s="271"/>
      <c r="AB533" s="273" t="str">
        <f t="shared" si="95"/>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93"/>
        <v/>
      </c>
      <c r="T534" s="222" t="str">
        <f ca="1">IF(B534="","",IF(ISERROR(MATCH($J534,SorP!$B$1:$B$6230,0)),"",INDIRECT("'SorP'!$A$"&amp;MATCH($J534,SorP!$B$1:$B$6230,0))))</f>
        <v/>
      </c>
      <c r="U534" s="238"/>
      <c r="V534" s="270" t="e">
        <f>IF(C534="",NA(),MATCH($B534&amp;$C534,'Smelter Look-up'!$J:$J,0))</f>
        <v>#N/A</v>
      </c>
      <c r="W534" s="271"/>
      <c r="X534" s="271">
        <f t="shared" ca="1" si="94"/>
        <v>0</v>
      </c>
      <c r="Y534" s="271"/>
      <c r="Z534" s="271"/>
      <c r="AB534" s="273" t="str">
        <f t="shared" si="95"/>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93"/>
        <v/>
      </c>
      <c r="T535" s="222" t="str">
        <f ca="1">IF(B535="","",IF(ISERROR(MATCH($J535,SorP!$B$1:$B$6230,0)),"",INDIRECT("'SorP'!$A$"&amp;MATCH($J535,SorP!$B$1:$B$6230,0))))</f>
        <v/>
      </c>
      <c r="U535" s="238"/>
      <c r="V535" s="270" t="e">
        <f>IF(C535="",NA(),MATCH($B535&amp;$C535,'Smelter Look-up'!$J:$J,0))</f>
        <v>#N/A</v>
      </c>
      <c r="W535" s="271"/>
      <c r="X535" s="271">
        <f t="shared" ca="1" si="94"/>
        <v>0</v>
      </c>
      <c r="Y535" s="271"/>
      <c r="Z535" s="271"/>
      <c r="AB535" s="273" t="str">
        <f t="shared" si="95"/>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ref="S536" ca="1" si="96">IF(B536="","",IF(ISERROR(MATCH($E536,CL,0)),"Unknown",INDIRECT("'C'!$A$"&amp;MATCH($E536,CL,0)+1)))</f>
        <v/>
      </c>
      <c r="T536" s="222" t="str">
        <f ca="1">IF(B536="","",IF(ISERROR(MATCH($J536,SorP!$B$1:$B$6230,0)),"",INDIRECT("'SorP'!$A$"&amp;MATCH($J536,SorP!$B$1:$B$6230,0))))</f>
        <v/>
      </c>
      <c r="U536" s="238"/>
      <c r="V536" s="270" t="e">
        <f>IF(C536="",NA(),MATCH($B536&amp;$C536,'Smelter Look-up'!$J:$J,0))</f>
        <v>#N/A</v>
      </c>
      <c r="W536" s="271"/>
      <c r="X536" s="271">
        <f t="shared" ref="X536" ca="1" si="97">IF(AND(C536="Smelter not listed",OR(LEN(D536)=0,LEN(E536)=0)),1,0)</f>
        <v>0</v>
      </c>
      <c r="Y536" s="271"/>
      <c r="Z536" s="271"/>
      <c r="AB536" s="273" t="str">
        <f t="shared" ref="AB536" si="98">B536&amp;C536</f>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ref="S537:S568" ca="1" si="99">IF(B537="","",IF(ISERROR(MATCH($E537,CL,0)),"Unknown",INDIRECT("'C'!$A$"&amp;MATCH($E537,CL,0)+1)))</f>
        <v/>
      </c>
      <c r="T537" s="222" t="str">
        <f ca="1">IF(B537="","",IF(ISERROR(MATCH($J537,SorP!$B$1:$B$6230,0)),"",INDIRECT("'SorP'!$A$"&amp;MATCH($J537,SorP!$B$1:$B$6230,0))))</f>
        <v/>
      </c>
      <c r="U537" s="238"/>
      <c r="V537" s="270" t="e">
        <f>IF(C537="",NA(),MATCH($B537&amp;$C537,'Smelter Look-up'!$J:$J,0))</f>
        <v>#N/A</v>
      </c>
      <c r="W537" s="271"/>
      <c r="X537" s="271">
        <f t="shared" ref="X537:X568" ca="1" si="100">IF(AND(C537="Smelter not listed",OR(LEN(D537)=0,LEN(E537)=0)),1,0)</f>
        <v>0</v>
      </c>
      <c r="Y537" s="271"/>
      <c r="Z537" s="271"/>
      <c r="AB537" s="273" t="str">
        <f t="shared" ref="AB537:AB568" si="101">B537&amp;C537</f>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99"/>
        <v/>
      </c>
      <c r="T538" s="222" t="str">
        <f ca="1">IF(B538="","",IF(ISERROR(MATCH($J538,SorP!$B$1:$B$6230,0)),"",INDIRECT("'SorP'!$A$"&amp;MATCH($J538,SorP!$B$1:$B$6230,0))))</f>
        <v/>
      </c>
      <c r="U538" s="238"/>
      <c r="V538" s="270" t="e">
        <f>IF(C538="",NA(),MATCH($B538&amp;$C538,'Smelter Look-up'!$J:$J,0))</f>
        <v>#N/A</v>
      </c>
      <c r="W538" s="271"/>
      <c r="X538" s="271">
        <f t="shared" ca="1" si="100"/>
        <v>0</v>
      </c>
      <c r="Y538" s="271"/>
      <c r="Z538" s="271"/>
      <c r="AB538" s="273" t="str">
        <f t="shared" si="101"/>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99"/>
        <v/>
      </c>
      <c r="T539" s="222" t="str">
        <f ca="1">IF(B539="","",IF(ISERROR(MATCH($J539,SorP!$B$1:$B$6230,0)),"",INDIRECT("'SorP'!$A$"&amp;MATCH($J539,SorP!$B$1:$B$6230,0))))</f>
        <v/>
      </c>
      <c r="U539" s="238"/>
      <c r="V539" s="270" t="e">
        <f>IF(C539="",NA(),MATCH($B539&amp;$C539,'Smelter Look-up'!$J:$J,0))</f>
        <v>#N/A</v>
      </c>
      <c r="W539" s="271"/>
      <c r="X539" s="271">
        <f t="shared" ca="1" si="100"/>
        <v>0</v>
      </c>
      <c r="Y539" s="271"/>
      <c r="Z539" s="271"/>
      <c r="AB539" s="273" t="str">
        <f t="shared" si="101"/>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99"/>
        <v/>
      </c>
      <c r="T540" s="222" t="str">
        <f ca="1">IF(B540="","",IF(ISERROR(MATCH($J540,SorP!$B$1:$B$6230,0)),"",INDIRECT("'SorP'!$A$"&amp;MATCH($J540,SorP!$B$1:$B$6230,0))))</f>
        <v/>
      </c>
      <c r="U540" s="238"/>
      <c r="V540" s="270" t="e">
        <f>IF(C540="",NA(),MATCH($B540&amp;$C540,'Smelter Look-up'!$J:$J,0))</f>
        <v>#N/A</v>
      </c>
      <c r="W540" s="271"/>
      <c r="X540" s="271">
        <f t="shared" ca="1" si="100"/>
        <v>0</v>
      </c>
      <c r="Y540" s="271"/>
      <c r="Z540" s="271"/>
      <c r="AB540" s="273" t="str">
        <f t="shared" si="101"/>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99"/>
        <v/>
      </c>
      <c r="T541" s="222" t="str">
        <f ca="1">IF(B541="","",IF(ISERROR(MATCH($J541,SorP!$B$1:$B$6230,0)),"",INDIRECT("'SorP'!$A$"&amp;MATCH($J541,SorP!$B$1:$B$6230,0))))</f>
        <v/>
      </c>
      <c r="U541" s="238"/>
      <c r="V541" s="270" t="e">
        <f>IF(C541="",NA(),MATCH($B541&amp;$C541,'Smelter Look-up'!$J:$J,0))</f>
        <v>#N/A</v>
      </c>
      <c r="W541" s="271"/>
      <c r="X541" s="271">
        <f t="shared" ca="1" si="100"/>
        <v>0</v>
      </c>
      <c r="Y541" s="271"/>
      <c r="Z541" s="271"/>
      <c r="AB541" s="273" t="str">
        <f t="shared" si="101"/>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99"/>
        <v/>
      </c>
      <c r="T542" s="222" t="str">
        <f ca="1">IF(B542="","",IF(ISERROR(MATCH($J542,SorP!$B$1:$B$6230,0)),"",INDIRECT("'SorP'!$A$"&amp;MATCH($J542,SorP!$B$1:$B$6230,0))))</f>
        <v/>
      </c>
      <c r="U542" s="238"/>
      <c r="V542" s="270" t="e">
        <f>IF(C542="",NA(),MATCH($B542&amp;$C542,'Smelter Look-up'!$J:$J,0))</f>
        <v>#N/A</v>
      </c>
      <c r="W542" s="271"/>
      <c r="X542" s="271">
        <f t="shared" ca="1" si="100"/>
        <v>0</v>
      </c>
      <c r="Y542" s="271"/>
      <c r="Z542" s="271"/>
      <c r="AB542" s="273" t="str">
        <f t="shared" si="101"/>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99"/>
        <v/>
      </c>
      <c r="T543" s="222" t="str">
        <f ca="1">IF(B543="","",IF(ISERROR(MATCH($J543,SorP!$B$1:$B$6230,0)),"",INDIRECT("'SorP'!$A$"&amp;MATCH($J543,SorP!$B$1:$B$6230,0))))</f>
        <v/>
      </c>
      <c r="U543" s="238"/>
      <c r="V543" s="270" t="e">
        <f>IF(C543="",NA(),MATCH($B543&amp;$C543,'Smelter Look-up'!$J:$J,0))</f>
        <v>#N/A</v>
      </c>
      <c r="W543" s="271"/>
      <c r="X543" s="271">
        <f t="shared" ca="1" si="100"/>
        <v>0</v>
      </c>
      <c r="Y543" s="271"/>
      <c r="Z543" s="271"/>
      <c r="AB543" s="273" t="str">
        <f t="shared" si="101"/>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99"/>
        <v/>
      </c>
      <c r="T544" s="222" t="str">
        <f ca="1">IF(B544="","",IF(ISERROR(MATCH($J544,SorP!$B$1:$B$6230,0)),"",INDIRECT("'SorP'!$A$"&amp;MATCH($J544,SorP!$B$1:$B$6230,0))))</f>
        <v/>
      </c>
      <c r="U544" s="238"/>
      <c r="V544" s="270" t="e">
        <f>IF(C544="",NA(),MATCH($B544&amp;$C544,'Smelter Look-up'!$J:$J,0))</f>
        <v>#N/A</v>
      </c>
      <c r="W544" s="271"/>
      <c r="X544" s="271">
        <f t="shared" ca="1" si="100"/>
        <v>0</v>
      </c>
      <c r="Y544" s="271"/>
      <c r="Z544" s="271"/>
      <c r="AB544" s="273" t="str">
        <f t="shared" si="101"/>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99"/>
        <v/>
      </c>
      <c r="T545" s="222" t="str">
        <f ca="1">IF(B545="","",IF(ISERROR(MATCH($J545,SorP!$B$1:$B$6230,0)),"",INDIRECT("'SorP'!$A$"&amp;MATCH($J545,SorP!$B$1:$B$6230,0))))</f>
        <v/>
      </c>
      <c r="U545" s="238"/>
      <c r="V545" s="270" t="e">
        <f>IF(C545="",NA(),MATCH($B545&amp;$C545,'Smelter Look-up'!$J:$J,0))</f>
        <v>#N/A</v>
      </c>
      <c r="W545" s="271"/>
      <c r="X545" s="271">
        <f t="shared" ca="1" si="100"/>
        <v>0</v>
      </c>
      <c r="Y545" s="271"/>
      <c r="Z545" s="271"/>
      <c r="AB545" s="273" t="str">
        <f t="shared" si="101"/>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99"/>
        <v/>
      </c>
      <c r="T546" s="222" t="str">
        <f ca="1">IF(B546="","",IF(ISERROR(MATCH($J546,SorP!$B$1:$B$6230,0)),"",INDIRECT("'SorP'!$A$"&amp;MATCH($J546,SorP!$B$1:$B$6230,0))))</f>
        <v/>
      </c>
      <c r="U546" s="238"/>
      <c r="V546" s="270" t="e">
        <f>IF(C546="",NA(),MATCH($B546&amp;$C546,'Smelter Look-up'!$J:$J,0))</f>
        <v>#N/A</v>
      </c>
      <c r="W546" s="271"/>
      <c r="X546" s="271">
        <f t="shared" ca="1" si="100"/>
        <v>0</v>
      </c>
      <c r="Y546" s="271"/>
      <c r="Z546" s="271"/>
      <c r="AB546" s="273" t="str">
        <f t="shared" si="101"/>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99"/>
        <v/>
      </c>
      <c r="T547" s="222" t="str">
        <f ca="1">IF(B547="","",IF(ISERROR(MATCH($J547,SorP!$B$1:$B$6230,0)),"",INDIRECT("'SorP'!$A$"&amp;MATCH($J547,SorP!$B$1:$B$6230,0))))</f>
        <v/>
      </c>
      <c r="U547" s="238"/>
      <c r="V547" s="270" t="e">
        <f>IF(C547="",NA(),MATCH($B547&amp;$C547,'Smelter Look-up'!$J:$J,0))</f>
        <v>#N/A</v>
      </c>
      <c r="W547" s="271"/>
      <c r="X547" s="271">
        <f t="shared" ca="1" si="100"/>
        <v>0</v>
      </c>
      <c r="Y547" s="271"/>
      <c r="Z547" s="271"/>
      <c r="AB547" s="273" t="str">
        <f t="shared" si="101"/>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99"/>
        <v/>
      </c>
      <c r="T548" s="222" t="str">
        <f ca="1">IF(B548="","",IF(ISERROR(MATCH($J548,SorP!$B$1:$B$6230,0)),"",INDIRECT("'SorP'!$A$"&amp;MATCH($J548,SorP!$B$1:$B$6230,0))))</f>
        <v/>
      </c>
      <c r="U548" s="238"/>
      <c r="V548" s="270" t="e">
        <f>IF(C548="",NA(),MATCH($B548&amp;$C548,'Smelter Look-up'!$J:$J,0))</f>
        <v>#N/A</v>
      </c>
      <c r="W548" s="271"/>
      <c r="X548" s="271">
        <f t="shared" ca="1" si="100"/>
        <v>0</v>
      </c>
      <c r="Y548" s="271"/>
      <c r="Z548" s="271"/>
      <c r="AB548" s="273" t="str">
        <f t="shared" si="101"/>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99"/>
        <v/>
      </c>
      <c r="T549" s="222" t="str">
        <f ca="1">IF(B549="","",IF(ISERROR(MATCH($J549,SorP!$B$1:$B$6230,0)),"",INDIRECT("'SorP'!$A$"&amp;MATCH($J549,SorP!$B$1:$B$6230,0))))</f>
        <v/>
      </c>
      <c r="U549" s="238"/>
      <c r="V549" s="270" t="e">
        <f>IF(C549="",NA(),MATCH($B549&amp;$C549,'Smelter Look-up'!$J:$J,0))</f>
        <v>#N/A</v>
      </c>
      <c r="W549" s="271"/>
      <c r="X549" s="271">
        <f t="shared" ca="1" si="100"/>
        <v>0</v>
      </c>
      <c r="Y549" s="271"/>
      <c r="Z549" s="271"/>
      <c r="AB549" s="273" t="str">
        <f t="shared" si="101"/>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ca="1" si="99"/>
        <v/>
      </c>
      <c r="T550" s="222" t="str">
        <f ca="1">IF(B550="","",IF(ISERROR(MATCH($J550,SorP!$B$1:$B$6230,0)),"",INDIRECT("'SorP'!$A$"&amp;MATCH($J550,SorP!$B$1:$B$6230,0))))</f>
        <v/>
      </c>
      <c r="U550" s="238"/>
      <c r="V550" s="270" t="e">
        <f>IF(C550="",NA(),MATCH($B550&amp;$C550,'Smelter Look-up'!$J:$J,0))</f>
        <v>#N/A</v>
      </c>
      <c r="W550" s="271"/>
      <c r="X550" s="271">
        <f t="shared" ca="1" si="100"/>
        <v>0</v>
      </c>
      <c r="Y550" s="271"/>
      <c r="Z550" s="271"/>
      <c r="AB550" s="273" t="str">
        <f t="shared" si="101"/>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99"/>
        <v/>
      </c>
      <c r="T551" s="222" t="str">
        <f ca="1">IF(B551="","",IF(ISERROR(MATCH($J551,SorP!$B$1:$B$6230,0)),"",INDIRECT("'SorP'!$A$"&amp;MATCH($J551,SorP!$B$1:$B$6230,0))))</f>
        <v/>
      </c>
      <c r="U551" s="238"/>
      <c r="V551" s="270" t="e">
        <f>IF(C551="",NA(),MATCH($B551&amp;$C551,'Smelter Look-up'!$J:$J,0))</f>
        <v>#N/A</v>
      </c>
      <c r="W551" s="271"/>
      <c r="X551" s="271">
        <f t="shared" ca="1" si="100"/>
        <v>0</v>
      </c>
      <c r="Y551" s="271"/>
      <c r="Z551" s="271"/>
      <c r="AB551" s="273" t="str">
        <f t="shared" si="101"/>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99"/>
        <v/>
      </c>
      <c r="T552" s="222" t="str">
        <f ca="1">IF(B552="","",IF(ISERROR(MATCH($J552,SorP!$B$1:$B$6230,0)),"",INDIRECT("'SorP'!$A$"&amp;MATCH($J552,SorP!$B$1:$B$6230,0))))</f>
        <v/>
      </c>
      <c r="U552" s="238"/>
      <c r="V552" s="270" t="e">
        <f>IF(C552="",NA(),MATCH($B552&amp;$C552,'Smelter Look-up'!$J:$J,0))</f>
        <v>#N/A</v>
      </c>
      <c r="W552" s="271"/>
      <c r="X552" s="271">
        <f t="shared" ca="1" si="100"/>
        <v>0</v>
      </c>
      <c r="Y552" s="271"/>
      <c r="Z552" s="271"/>
      <c r="AB552" s="273" t="str">
        <f t="shared" si="101"/>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99"/>
        <v/>
      </c>
      <c r="T553" s="222" t="str">
        <f ca="1">IF(B553="","",IF(ISERROR(MATCH($J553,SorP!$B$1:$B$6230,0)),"",INDIRECT("'SorP'!$A$"&amp;MATCH($J553,SorP!$B$1:$B$6230,0))))</f>
        <v/>
      </c>
      <c r="U553" s="238"/>
      <c r="V553" s="270" t="e">
        <f>IF(C553="",NA(),MATCH($B553&amp;$C553,'Smelter Look-up'!$J:$J,0))</f>
        <v>#N/A</v>
      </c>
      <c r="W553" s="271"/>
      <c r="X553" s="271">
        <f t="shared" ca="1" si="100"/>
        <v>0</v>
      </c>
      <c r="Y553" s="271"/>
      <c r="Z553" s="271"/>
      <c r="AB553" s="273" t="str">
        <f t="shared" si="101"/>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99"/>
        <v/>
      </c>
      <c r="T554" s="222" t="str">
        <f ca="1">IF(B554="","",IF(ISERROR(MATCH($J554,SorP!$B$1:$B$6230,0)),"",INDIRECT("'SorP'!$A$"&amp;MATCH($J554,SorP!$B$1:$B$6230,0))))</f>
        <v/>
      </c>
      <c r="U554" s="238"/>
      <c r="V554" s="270" t="e">
        <f>IF(C554="",NA(),MATCH($B554&amp;$C554,'Smelter Look-up'!$J:$J,0))</f>
        <v>#N/A</v>
      </c>
      <c r="W554" s="271"/>
      <c r="X554" s="271">
        <f t="shared" ca="1" si="100"/>
        <v>0</v>
      </c>
      <c r="Y554" s="271"/>
      <c r="Z554" s="271"/>
      <c r="AB554" s="273" t="str">
        <f t="shared" si="101"/>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99"/>
        <v/>
      </c>
      <c r="T555" s="222" t="str">
        <f ca="1">IF(B555="","",IF(ISERROR(MATCH($J555,SorP!$B$1:$B$6230,0)),"",INDIRECT("'SorP'!$A$"&amp;MATCH($J555,SorP!$B$1:$B$6230,0))))</f>
        <v/>
      </c>
      <c r="U555" s="238"/>
      <c r="V555" s="270" t="e">
        <f>IF(C555="",NA(),MATCH($B555&amp;$C555,'Smelter Look-up'!$J:$J,0))</f>
        <v>#N/A</v>
      </c>
      <c r="W555" s="271"/>
      <c r="X555" s="271">
        <f t="shared" ca="1" si="100"/>
        <v>0</v>
      </c>
      <c r="Y555" s="271"/>
      <c r="Z555" s="271"/>
      <c r="AB555" s="273" t="str">
        <f t="shared" si="101"/>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99"/>
        <v/>
      </c>
      <c r="T556" s="222" t="str">
        <f ca="1">IF(B556="","",IF(ISERROR(MATCH($J556,SorP!$B$1:$B$6230,0)),"",INDIRECT("'SorP'!$A$"&amp;MATCH($J556,SorP!$B$1:$B$6230,0))))</f>
        <v/>
      </c>
      <c r="U556" s="238"/>
      <c r="V556" s="270" t="e">
        <f>IF(C556="",NA(),MATCH($B556&amp;$C556,'Smelter Look-up'!$J:$J,0))</f>
        <v>#N/A</v>
      </c>
      <c r="W556" s="271"/>
      <c r="X556" s="271">
        <f t="shared" ca="1" si="100"/>
        <v>0</v>
      </c>
      <c r="Y556" s="271"/>
      <c r="Z556" s="271"/>
      <c r="AB556" s="273" t="str">
        <f t="shared" si="101"/>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99"/>
        <v/>
      </c>
      <c r="T557" s="222" t="str">
        <f ca="1">IF(B557="","",IF(ISERROR(MATCH($J557,SorP!$B$1:$B$6230,0)),"",INDIRECT("'SorP'!$A$"&amp;MATCH($J557,SorP!$B$1:$B$6230,0))))</f>
        <v/>
      </c>
      <c r="U557" s="238"/>
      <c r="V557" s="270" t="e">
        <f>IF(C557="",NA(),MATCH($B557&amp;$C557,'Smelter Look-up'!$J:$J,0))</f>
        <v>#N/A</v>
      </c>
      <c r="W557" s="271"/>
      <c r="X557" s="271">
        <f t="shared" ca="1" si="100"/>
        <v>0</v>
      </c>
      <c r="Y557" s="271"/>
      <c r="Z557" s="271"/>
      <c r="AB557" s="273" t="str">
        <f t="shared" si="101"/>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99"/>
        <v/>
      </c>
      <c r="T558" s="222" t="str">
        <f ca="1">IF(B558="","",IF(ISERROR(MATCH($J558,SorP!$B$1:$B$6230,0)),"",INDIRECT("'SorP'!$A$"&amp;MATCH($J558,SorP!$B$1:$B$6230,0))))</f>
        <v/>
      </c>
      <c r="U558" s="238"/>
      <c r="V558" s="270" t="e">
        <f>IF(C558="",NA(),MATCH($B558&amp;$C558,'Smelter Look-up'!$J:$J,0))</f>
        <v>#N/A</v>
      </c>
      <c r="W558" s="271"/>
      <c r="X558" s="271">
        <f t="shared" ca="1" si="100"/>
        <v>0</v>
      </c>
      <c r="Y558" s="271"/>
      <c r="Z558" s="271"/>
      <c r="AB558" s="273" t="str">
        <f t="shared" si="101"/>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99"/>
        <v/>
      </c>
      <c r="T559" s="222" t="str">
        <f ca="1">IF(B559="","",IF(ISERROR(MATCH($J559,SorP!$B$1:$B$6230,0)),"",INDIRECT("'SorP'!$A$"&amp;MATCH($J559,SorP!$B$1:$B$6230,0))))</f>
        <v/>
      </c>
      <c r="U559" s="238"/>
      <c r="V559" s="270" t="e">
        <f>IF(C559="",NA(),MATCH($B559&amp;$C559,'Smelter Look-up'!$J:$J,0))</f>
        <v>#N/A</v>
      </c>
      <c r="W559" s="271"/>
      <c r="X559" s="271">
        <f t="shared" ca="1" si="100"/>
        <v>0</v>
      </c>
      <c r="Y559" s="271"/>
      <c r="Z559" s="271"/>
      <c r="AB559" s="273" t="str">
        <f t="shared" si="101"/>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99"/>
        <v/>
      </c>
      <c r="T560" s="222" t="str">
        <f ca="1">IF(B560="","",IF(ISERROR(MATCH($J560,SorP!$B$1:$B$6230,0)),"",INDIRECT("'SorP'!$A$"&amp;MATCH($J560,SorP!$B$1:$B$6230,0))))</f>
        <v/>
      </c>
      <c r="U560" s="238"/>
      <c r="V560" s="270" t="e">
        <f>IF(C560="",NA(),MATCH($B560&amp;$C560,'Smelter Look-up'!$J:$J,0))</f>
        <v>#N/A</v>
      </c>
      <c r="W560" s="271"/>
      <c r="X560" s="271">
        <f t="shared" ca="1" si="100"/>
        <v>0</v>
      </c>
      <c r="Y560" s="271"/>
      <c r="Z560" s="271"/>
      <c r="AB560" s="273" t="str">
        <f t="shared" si="101"/>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99"/>
        <v/>
      </c>
      <c r="T561" s="222" t="str">
        <f ca="1">IF(B561="","",IF(ISERROR(MATCH($J561,SorP!$B$1:$B$6230,0)),"",INDIRECT("'SorP'!$A$"&amp;MATCH($J561,SorP!$B$1:$B$6230,0))))</f>
        <v/>
      </c>
      <c r="U561" s="238"/>
      <c r="V561" s="270" t="e">
        <f>IF(C561="",NA(),MATCH($B561&amp;$C561,'Smelter Look-up'!$J:$J,0))</f>
        <v>#N/A</v>
      </c>
      <c r="W561" s="271"/>
      <c r="X561" s="271">
        <f t="shared" ca="1" si="100"/>
        <v>0</v>
      </c>
      <c r="Y561" s="271"/>
      <c r="Z561" s="271"/>
      <c r="AB561" s="273" t="str">
        <f t="shared" si="101"/>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99"/>
        <v/>
      </c>
      <c r="T562" s="222" t="str">
        <f ca="1">IF(B562="","",IF(ISERROR(MATCH($J562,SorP!$B$1:$B$6230,0)),"",INDIRECT("'SorP'!$A$"&amp;MATCH($J562,SorP!$B$1:$B$6230,0))))</f>
        <v/>
      </c>
      <c r="U562" s="238"/>
      <c r="V562" s="270" t="e">
        <f>IF(C562="",NA(),MATCH($B562&amp;$C562,'Smelter Look-up'!$J:$J,0))</f>
        <v>#N/A</v>
      </c>
      <c r="W562" s="271"/>
      <c r="X562" s="271">
        <f t="shared" ca="1" si="100"/>
        <v>0</v>
      </c>
      <c r="Y562" s="271"/>
      <c r="Z562" s="271"/>
      <c r="AB562" s="273" t="str">
        <f t="shared" si="101"/>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99"/>
        <v/>
      </c>
      <c r="T563" s="222" t="str">
        <f ca="1">IF(B563="","",IF(ISERROR(MATCH($J563,SorP!$B$1:$B$6230,0)),"",INDIRECT("'SorP'!$A$"&amp;MATCH($J563,SorP!$B$1:$B$6230,0))))</f>
        <v/>
      </c>
      <c r="U563" s="238"/>
      <c r="V563" s="270" t="e">
        <f>IF(C563="",NA(),MATCH($B563&amp;$C563,'Smelter Look-up'!$J:$J,0))</f>
        <v>#N/A</v>
      </c>
      <c r="W563" s="271"/>
      <c r="X563" s="271">
        <f t="shared" ca="1" si="100"/>
        <v>0</v>
      </c>
      <c r="Y563" s="271"/>
      <c r="Z563" s="271"/>
      <c r="AB563" s="273" t="str">
        <f t="shared" si="101"/>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99"/>
        <v/>
      </c>
      <c r="T564" s="222" t="str">
        <f ca="1">IF(B564="","",IF(ISERROR(MATCH($J564,SorP!$B$1:$B$6230,0)),"",INDIRECT("'SorP'!$A$"&amp;MATCH($J564,SorP!$B$1:$B$6230,0))))</f>
        <v/>
      </c>
      <c r="U564" s="238"/>
      <c r="V564" s="270" t="e">
        <f>IF(C564="",NA(),MATCH($B564&amp;$C564,'Smelter Look-up'!$J:$J,0))</f>
        <v>#N/A</v>
      </c>
      <c r="W564" s="271"/>
      <c r="X564" s="271">
        <f t="shared" ca="1" si="100"/>
        <v>0</v>
      </c>
      <c r="Y564" s="271"/>
      <c r="Z564" s="271"/>
      <c r="AB564" s="273" t="str">
        <f t="shared" si="101"/>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99"/>
        <v/>
      </c>
      <c r="T565" s="222" t="str">
        <f ca="1">IF(B565="","",IF(ISERROR(MATCH($J565,SorP!$B$1:$B$6230,0)),"",INDIRECT("'SorP'!$A$"&amp;MATCH($J565,SorP!$B$1:$B$6230,0))))</f>
        <v/>
      </c>
      <c r="U565" s="238"/>
      <c r="V565" s="270" t="e">
        <f>IF(C565="",NA(),MATCH($B565&amp;$C565,'Smelter Look-up'!$J:$J,0))</f>
        <v>#N/A</v>
      </c>
      <c r="W565" s="271"/>
      <c r="X565" s="271">
        <f t="shared" ca="1" si="100"/>
        <v>0</v>
      </c>
      <c r="Y565" s="271"/>
      <c r="Z565" s="271"/>
      <c r="AB565" s="273" t="str">
        <f t="shared" si="101"/>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99"/>
        <v/>
      </c>
      <c r="T566" s="222" t="str">
        <f ca="1">IF(B566="","",IF(ISERROR(MATCH($J566,SorP!$B$1:$B$6230,0)),"",INDIRECT("'SorP'!$A$"&amp;MATCH($J566,SorP!$B$1:$B$6230,0))))</f>
        <v/>
      </c>
      <c r="U566" s="238"/>
      <c r="V566" s="270" t="e">
        <f>IF(C566="",NA(),MATCH($B566&amp;$C566,'Smelter Look-up'!$J:$J,0))</f>
        <v>#N/A</v>
      </c>
      <c r="W566" s="271"/>
      <c r="X566" s="271">
        <f t="shared" ca="1" si="100"/>
        <v>0</v>
      </c>
      <c r="Y566" s="271"/>
      <c r="Z566" s="271"/>
      <c r="AB566" s="273" t="str">
        <f t="shared" si="101"/>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99"/>
        <v/>
      </c>
      <c r="T567" s="222" t="str">
        <f ca="1">IF(B567="","",IF(ISERROR(MATCH($J567,SorP!$B$1:$B$6230,0)),"",INDIRECT("'SorP'!$A$"&amp;MATCH($J567,SorP!$B$1:$B$6230,0))))</f>
        <v/>
      </c>
      <c r="U567" s="238"/>
      <c r="V567" s="270" t="e">
        <f>IF(C567="",NA(),MATCH($B567&amp;$C567,'Smelter Look-up'!$J:$J,0))</f>
        <v>#N/A</v>
      </c>
      <c r="W567" s="271"/>
      <c r="X567" s="271">
        <f t="shared" ca="1" si="100"/>
        <v>0</v>
      </c>
      <c r="Y567" s="271"/>
      <c r="Z567" s="271"/>
      <c r="AB567" s="273" t="str">
        <f t="shared" si="101"/>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99"/>
        <v/>
      </c>
      <c r="T568" s="222" t="str">
        <f ca="1">IF(B568="","",IF(ISERROR(MATCH($J568,SorP!$B$1:$B$6230,0)),"",INDIRECT("'SorP'!$A$"&amp;MATCH($J568,SorP!$B$1:$B$6230,0))))</f>
        <v/>
      </c>
      <c r="U568" s="238"/>
      <c r="V568" s="270" t="e">
        <f>IF(C568="",NA(),MATCH($B568&amp;$C568,'Smelter Look-up'!$J:$J,0))</f>
        <v>#N/A</v>
      </c>
      <c r="W568" s="271"/>
      <c r="X568" s="271">
        <f t="shared" ca="1" si="100"/>
        <v>0</v>
      </c>
      <c r="Y568" s="271"/>
      <c r="Z568" s="271"/>
      <c r="AB568" s="273" t="str">
        <f t="shared" si="101"/>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ref="S569:S599" ca="1" si="102">IF(B569="","",IF(ISERROR(MATCH($E569,CL,0)),"Unknown",INDIRECT("'C'!$A$"&amp;MATCH($E569,CL,0)+1)))</f>
        <v/>
      </c>
      <c r="T569" s="222" t="str">
        <f ca="1">IF(B569="","",IF(ISERROR(MATCH($J569,SorP!$B$1:$B$6230,0)),"",INDIRECT("'SorP'!$A$"&amp;MATCH($J569,SorP!$B$1:$B$6230,0))))</f>
        <v/>
      </c>
      <c r="U569" s="238"/>
      <c r="V569" s="270" t="e">
        <f>IF(C569="",NA(),MATCH($B569&amp;$C569,'Smelter Look-up'!$J:$J,0))</f>
        <v>#N/A</v>
      </c>
      <c r="W569" s="271"/>
      <c r="X569" s="271">
        <f t="shared" ref="X569:X599" ca="1" si="103">IF(AND(C569="Smelter not listed",OR(LEN(D569)=0,LEN(E569)=0)),1,0)</f>
        <v>0</v>
      </c>
      <c r="Y569" s="271"/>
      <c r="Z569" s="271"/>
      <c r="AB569" s="273" t="str">
        <f t="shared" ref="AB569:AB599" si="104">B569&amp;C569</f>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102"/>
        <v/>
      </c>
      <c r="T570" s="222" t="str">
        <f ca="1">IF(B570="","",IF(ISERROR(MATCH($J570,SorP!$B$1:$B$6230,0)),"",INDIRECT("'SorP'!$A$"&amp;MATCH($J570,SorP!$B$1:$B$6230,0))))</f>
        <v/>
      </c>
      <c r="U570" s="238"/>
      <c r="V570" s="270" t="e">
        <f>IF(C570="",NA(),MATCH($B570&amp;$C570,'Smelter Look-up'!$J:$J,0))</f>
        <v>#N/A</v>
      </c>
      <c r="W570" s="271"/>
      <c r="X570" s="271">
        <f t="shared" ca="1" si="103"/>
        <v>0</v>
      </c>
      <c r="Y570" s="271"/>
      <c r="Z570" s="271"/>
      <c r="AB570" s="273" t="str">
        <f t="shared" si="104"/>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102"/>
        <v/>
      </c>
      <c r="T571" s="222" t="str">
        <f ca="1">IF(B571="","",IF(ISERROR(MATCH($J571,SorP!$B$1:$B$6230,0)),"",INDIRECT("'SorP'!$A$"&amp;MATCH($J571,SorP!$B$1:$B$6230,0))))</f>
        <v/>
      </c>
      <c r="U571" s="238"/>
      <c r="V571" s="270" t="e">
        <f>IF(C571="",NA(),MATCH($B571&amp;$C571,'Smelter Look-up'!$J:$J,0))</f>
        <v>#N/A</v>
      </c>
      <c r="W571" s="271"/>
      <c r="X571" s="271">
        <f t="shared" ca="1" si="103"/>
        <v>0</v>
      </c>
      <c r="Y571" s="271"/>
      <c r="Z571" s="271"/>
      <c r="AB571" s="273" t="str">
        <f t="shared" si="104"/>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102"/>
        <v/>
      </c>
      <c r="T572" s="222" t="str">
        <f ca="1">IF(B572="","",IF(ISERROR(MATCH($J572,SorP!$B$1:$B$6230,0)),"",INDIRECT("'SorP'!$A$"&amp;MATCH($J572,SorP!$B$1:$B$6230,0))))</f>
        <v/>
      </c>
      <c r="U572" s="238"/>
      <c r="V572" s="270" t="e">
        <f>IF(C572="",NA(),MATCH($B572&amp;$C572,'Smelter Look-up'!$J:$J,0))</f>
        <v>#N/A</v>
      </c>
      <c r="W572" s="271"/>
      <c r="X572" s="271">
        <f t="shared" ca="1" si="103"/>
        <v>0</v>
      </c>
      <c r="Y572" s="271"/>
      <c r="Z572" s="271"/>
      <c r="AB572" s="273" t="str">
        <f t="shared" si="104"/>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102"/>
        <v/>
      </c>
      <c r="T573" s="222" t="str">
        <f ca="1">IF(B573="","",IF(ISERROR(MATCH($J573,SorP!$B$1:$B$6230,0)),"",INDIRECT("'SorP'!$A$"&amp;MATCH($J573,SorP!$B$1:$B$6230,0))))</f>
        <v/>
      </c>
      <c r="U573" s="238"/>
      <c r="V573" s="270" t="e">
        <f>IF(C573="",NA(),MATCH($B573&amp;$C573,'Smelter Look-up'!$J:$J,0))</f>
        <v>#N/A</v>
      </c>
      <c r="W573" s="271"/>
      <c r="X573" s="271">
        <f t="shared" ca="1" si="103"/>
        <v>0</v>
      </c>
      <c r="Y573" s="271"/>
      <c r="Z573" s="271"/>
      <c r="AB573" s="273" t="str">
        <f t="shared" si="104"/>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102"/>
        <v/>
      </c>
      <c r="T574" s="222" t="str">
        <f ca="1">IF(B574="","",IF(ISERROR(MATCH($J574,SorP!$B$1:$B$6230,0)),"",INDIRECT("'SorP'!$A$"&amp;MATCH($J574,SorP!$B$1:$B$6230,0))))</f>
        <v/>
      </c>
      <c r="U574" s="238"/>
      <c r="V574" s="270" t="e">
        <f>IF(C574="",NA(),MATCH($B574&amp;$C574,'Smelter Look-up'!$J:$J,0))</f>
        <v>#N/A</v>
      </c>
      <c r="W574" s="271"/>
      <c r="X574" s="271">
        <f t="shared" ca="1" si="103"/>
        <v>0</v>
      </c>
      <c r="Y574" s="271"/>
      <c r="Z574" s="271"/>
      <c r="AB574" s="273" t="str">
        <f t="shared" si="104"/>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102"/>
        <v/>
      </c>
      <c r="T575" s="222" t="str">
        <f ca="1">IF(B575="","",IF(ISERROR(MATCH($J575,SorP!$B$1:$B$6230,0)),"",INDIRECT("'SorP'!$A$"&amp;MATCH($J575,SorP!$B$1:$B$6230,0))))</f>
        <v/>
      </c>
      <c r="U575" s="238"/>
      <c r="V575" s="270" t="e">
        <f>IF(C575="",NA(),MATCH($B575&amp;$C575,'Smelter Look-up'!$J:$J,0))</f>
        <v>#N/A</v>
      </c>
      <c r="W575" s="271"/>
      <c r="X575" s="271">
        <f t="shared" ca="1" si="103"/>
        <v>0</v>
      </c>
      <c r="Y575" s="271"/>
      <c r="Z575" s="271"/>
      <c r="AB575" s="273" t="str">
        <f t="shared" si="104"/>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102"/>
        <v/>
      </c>
      <c r="T576" s="222" t="str">
        <f ca="1">IF(B576="","",IF(ISERROR(MATCH($J576,SorP!$B$1:$B$6230,0)),"",INDIRECT("'SorP'!$A$"&amp;MATCH($J576,SorP!$B$1:$B$6230,0))))</f>
        <v/>
      </c>
      <c r="U576" s="238"/>
      <c r="V576" s="270" t="e">
        <f>IF(C576="",NA(),MATCH($B576&amp;$C576,'Smelter Look-up'!$J:$J,0))</f>
        <v>#N/A</v>
      </c>
      <c r="W576" s="271"/>
      <c r="X576" s="271">
        <f t="shared" ca="1" si="103"/>
        <v>0</v>
      </c>
      <c r="Y576" s="271"/>
      <c r="Z576" s="271"/>
      <c r="AB576" s="273" t="str">
        <f t="shared" si="104"/>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102"/>
        <v/>
      </c>
      <c r="T577" s="222" t="str">
        <f ca="1">IF(B577="","",IF(ISERROR(MATCH($J577,SorP!$B$1:$B$6230,0)),"",INDIRECT("'SorP'!$A$"&amp;MATCH($J577,SorP!$B$1:$B$6230,0))))</f>
        <v/>
      </c>
      <c r="U577" s="238"/>
      <c r="V577" s="270" t="e">
        <f>IF(C577="",NA(),MATCH($B577&amp;$C577,'Smelter Look-up'!$J:$J,0))</f>
        <v>#N/A</v>
      </c>
      <c r="W577" s="271"/>
      <c r="X577" s="271">
        <f t="shared" ca="1" si="103"/>
        <v>0</v>
      </c>
      <c r="Y577" s="271"/>
      <c r="Z577" s="271"/>
      <c r="AB577" s="273" t="str">
        <f t="shared" si="104"/>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102"/>
        <v/>
      </c>
      <c r="T578" s="222" t="str">
        <f ca="1">IF(B578="","",IF(ISERROR(MATCH($J578,SorP!$B$1:$B$6230,0)),"",INDIRECT("'SorP'!$A$"&amp;MATCH($J578,SorP!$B$1:$B$6230,0))))</f>
        <v/>
      </c>
      <c r="U578" s="238"/>
      <c r="V578" s="270" t="e">
        <f>IF(C578="",NA(),MATCH($B578&amp;$C578,'Smelter Look-up'!$J:$J,0))</f>
        <v>#N/A</v>
      </c>
      <c r="W578" s="271"/>
      <c r="X578" s="271">
        <f t="shared" ca="1" si="103"/>
        <v>0</v>
      </c>
      <c r="Y578" s="271"/>
      <c r="Z578" s="271"/>
      <c r="AB578" s="273" t="str">
        <f t="shared" si="104"/>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102"/>
        <v/>
      </c>
      <c r="T579" s="222" t="str">
        <f ca="1">IF(B579="","",IF(ISERROR(MATCH($J579,SorP!$B$1:$B$6230,0)),"",INDIRECT("'SorP'!$A$"&amp;MATCH($J579,SorP!$B$1:$B$6230,0))))</f>
        <v/>
      </c>
      <c r="U579" s="238"/>
      <c r="V579" s="270" t="e">
        <f>IF(C579="",NA(),MATCH($B579&amp;$C579,'Smelter Look-up'!$J:$J,0))</f>
        <v>#N/A</v>
      </c>
      <c r="W579" s="271"/>
      <c r="X579" s="271">
        <f t="shared" ca="1" si="103"/>
        <v>0</v>
      </c>
      <c r="Y579" s="271"/>
      <c r="Z579" s="271"/>
      <c r="AB579" s="273" t="str">
        <f t="shared" si="104"/>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102"/>
        <v/>
      </c>
      <c r="T580" s="222" t="str">
        <f ca="1">IF(B580="","",IF(ISERROR(MATCH($J580,SorP!$B$1:$B$6230,0)),"",INDIRECT("'SorP'!$A$"&amp;MATCH($J580,SorP!$B$1:$B$6230,0))))</f>
        <v/>
      </c>
      <c r="U580" s="238"/>
      <c r="V580" s="270" t="e">
        <f>IF(C580="",NA(),MATCH($B580&amp;$C580,'Smelter Look-up'!$J:$J,0))</f>
        <v>#N/A</v>
      </c>
      <c r="W580" s="271"/>
      <c r="X580" s="271">
        <f t="shared" ca="1" si="103"/>
        <v>0</v>
      </c>
      <c r="Y580" s="271"/>
      <c r="Z580" s="271"/>
      <c r="AB580" s="273" t="str">
        <f t="shared" si="104"/>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ca="1" si="102"/>
        <v/>
      </c>
      <c r="T581" s="222" t="str">
        <f ca="1">IF(B581="","",IF(ISERROR(MATCH($J581,SorP!$B$1:$B$6230,0)),"",INDIRECT("'SorP'!$A$"&amp;MATCH($J581,SorP!$B$1:$B$6230,0))))</f>
        <v/>
      </c>
      <c r="U581" s="238"/>
      <c r="V581" s="270" t="e">
        <f>IF(C581="",NA(),MATCH($B581&amp;$C581,'Smelter Look-up'!$J:$J,0))</f>
        <v>#N/A</v>
      </c>
      <c r="W581" s="271"/>
      <c r="X581" s="271">
        <f t="shared" ca="1" si="103"/>
        <v>0</v>
      </c>
      <c r="Y581" s="271"/>
      <c r="Z581" s="271"/>
      <c r="AB581" s="273" t="str">
        <f t="shared" si="104"/>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t="shared" ca="1" si="102"/>
        <v/>
      </c>
      <c r="T582" s="222" t="str">
        <f ca="1">IF(B582="","",IF(ISERROR(MATCH($J582,SorP!$B$1:$B$6230,0)),"",INDIRECT("'SorP'!$A$"&amp;MATCH($J582,SorP!$B$1:$B$6230,0))))</f>
        <v/>
      </c>
      <c r="U582" s="238"/>
      <c r="V582" s="270" t="e">
        <f>IF(C582="",NA(),MATCH($B582&amp;$C582,'Smelter Look-up'!$J:$J,0))</f>
        <v>#N/A</v>
      </c>
      <c r="W582" s="271"/>
      <c r="X582" s="271">
        <f t="shared" ca="1" si="103"/>
        <v>0</v>
      </c>
      <c r="Y582" s="271"/>
      <c r="Z582" s="271"/>
      <c r="AB582" s="273" t="str">
        <f t="shared" si="104"/>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t="shared" ca="1" si="102"/>
        <v/>
      </c>
      <c r="T583" s="222" t="str">
        <f ca="1">IF(B583="","",IF(ISERROR(MATCH($J583,SorP!$B$1:$B$6230,0)),"",INDIRECT("'SorP'!$A$"&amp;MATCH($J583,SorP!$B$1:$B$6230,0))))</f>
        <v/>
      </c>
      <c r="U583" s="238"/>
      <c r="V583" s="270" t="e">
        <f>IF(C583="",NA(),MATCH($B583&amp;$C583,'Smelter Look-up'!$J:$J,0))</f>
        <v>#N/A</v>
      </c>
      <c r="W583" s="271"/>
      <c r="X583" s="271">
        <f t="shared" ca="1" si="103"/>
        <v>0</v>
      </c>
      <c r="Y583" s="271"/>
      <c r="Z583" s="271"/>
      <c r="AB583" s="273" t="str">
        <f t="shared" si="104"/>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ca="1" si="102"/>
        <v/>
      </c>
      <c r="T584" s="222" t="str">
        <f ca="1">IF(B584="","",IF(ISERROR(MATCH($J584,SorP!$B$1:$B$6230,0)),"",INDIRECT("'SorP'!$A$"&amp;MATCH($J584,SorP!$B$1:$B$6230,0))))</f>
        <v/>
      </c>
      <c r="U584" s="238"/>
      <c r="V584" s="270" t="e">
        <f>IF(C584="",NA(),MATCH($B584&amp;$C584,'Smelter Look-up'!$J:$J,0))</f>
        <v>#N/A</v>
      </c>
      <c r="W584" s="271"/>
      <c r="X584" s="271">
        <f t="shared" ca="1" si="103"/>
        <v>0</v>
      </c>
      <c r="Y584" s="271"/>
      <c r="Z584" s="271"/>
      <c r="AB584" s="273" t="str">
        <f t="shared" si="104"/>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ca="1" si="102"/>
        <v/>
      </c>
      <c r="T585" s="222" t="str">
        <f ca="1">IF(B585="","",IF(ISERROR(MATCH($J585,SorP!$B$1:$B$6230,0)),"",INDIRECT("'SorP'!$A$"&amp;MATCH($J585,SorP!$B$1:$B$6230,0))))</f>
        <v/>
      </c>
      <c r="U585" s="238"/>
      <c r="V585" s="270" t="e">
        <f>IF(C585="",NA(),MATCH($B585&amp;$C585,'Smelter Look-up'!$J:$J,0))</f>
        <v>#N/A</v>
      </c>
      <c r="W585" s="271"/>
      <c r="X585" s="271">
        <f t="shared" ca="1" si="103"/>
        <v>0</v>
      </c>
      <c r="Y585" s="271"/>
      <c r="Z585" s="271"/>
      <c r="AB585" s="273" t="str">
        <f t="shared" si="104"/>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102"/>
        <v/>
      </c>
      <c r="T586" s="222" t="str">
        <f ca="1">IF(B586="","",IF(ISERROR(MATCH($J586,SorP!$B$1:$B$6230,0)),"",INDIRECT("'SorP'!$A$"&amp;MATCH($J586,SorP!$B$1:$B$6230,0))))</f>
        <v/>
      </c>
      <c r="U586" s="238"/>
      <c r="V586" s="270" t="e">
        <f>IF(C586="",NA(),MATCH($B586&amp;$C586,'Smelter Look-up'!$J:$J,0))</f>
        <v>#N/A</v>
      </c>
      <c r="W586" s="271"/>
      <c r="X586" s="271">
        <f t="shared" ca="1" si="103"/>
        <v>0</v>
      </c>
      <c r="Y586" s="271"/>
      <c r="Z586" s="271"/>
      <c r="AB586" s="273" t="str">
        <f t="shared" si="104"/>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ca="1" si="102"/>
        <v/>
      </c>
      <c r="T587" s="222" t="str">
        <f ca="1">IF(B587="","",IF(ISERROR(MATCH($J587,SorP!$B$1:$B$6230,0)),"",INDIRECT("'SorP'!$A$"&amp;MATCH($J587,SorP!$B$1:$B$6230,0))))</f>
        <v/>
      </c>
      <c r="U587" s="238"/>
      <c r="V587" s="270" t="e">
        <f>IF(C587="",NA(),MATCH($B587&amp;$C587,'Smelter Look-up'!$J:$J,0))</f>
        <v>#N/A</v>
      </c>
      <c r="W587" s="271"/>
      <c r="X587" s="271">
        <f t="shared" ca="1" si="103"/>
        <v>0</v>
      </c>
      <c r="Y587" s="271"/>
      <c r="Z587" s="271"/>
      <c r="AB587" s="273" t="str">
        <f t="shared" si="104"/>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102"/>
        <v/>
      </c>
      <c r="T588" s="222" t="str">
        <f ca="1">IF(B588="","",IF(ISERROR(MATCH($J588,SorP!$B$1:$B$6230,0)),"",INDIRECT("'SorP'!$A$"&amp;MATCH($J588,SorP!$B$1:$B$6230,0))))</f>
        <v/>
      </c>
      <c r="U588" s="238"/>
      <c r="V588" s="270" t="e">
        <f>IF(C588="",NA(),MATCH($B588&amp;$C588,'Smelter Look-up'!$J:$J,0))</f>
        <v>#N/A</v>
      </c>
      <c r="W588" s="271"/>
      <c r="X588" s="271">
        <f t="shared" ca="1" si="103"/>
        <v>0</v>
      </c>
      <c r="Y588" s="271"/>
      <c r="Z588" s="271"/>
      <c r="AB588" s="273" t="str">
        <f t="shared" si="104"/>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102"/>
        <v/>
      </c>
      <c r="T589" s="222" t="str">
        <f ca="1">IF(B589="","",IF(ISERROR(MATCH($J589,SorP!$B$1:$B$6230,0)),"",INDIRECT("'SorP'!$A$"&amp;MATCH($J589,SorP!$B$1:$B$6230,0))))</f>
        <v/>
      </c>
      <c r="U589" s="238"/>
      <c r="V589" s="270" t="e">
        <f>IF(C589="",NA(),MATCH($B589&amp;$C589,'Smelter Look-up'!$J:$J,0))</f>
        <v>#N/A</v>
      </c>
      <c r="W589" s="271"/>
      <c r="X589" s="271">
        <f t="shared" ca="1" si="103"/>
        <v>0</v>
      </c>
      <c r="Y589" s="271"/>
      <c r="Z589" s="271"/>
      <c r="AB589" s="273" t="str">
        <f t="shared" si="104"/>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102"/>
        <v/>
      </c>
      <c r="T590" s="222" t="str">
        <f ca="1">IF(B590="","",IF(ISERROR(MATCH($J590,SorP!$B$1:$B$6230,0)),"",INDIRECT("'SorP'!$A$"&amp;MATCH($J590,SorP!$B$1:$B$6230,0))))</f>
        <v/>
      </c>
      <c r="U590" s="238"/>
      <c r="V590" s="270" t="e">
        <f>IF(C590="",NA(),MATCH($B590&amp;$C590,'Smelter Look-up'!$J:$J,0))</f>
        <v>#N/A</v>
      </c>
      <c r="W590" s="271"/>
      <c r="X590" s="271">
        <f t="shared" ca="1" si="103"/>
        <v>0</v>
      </c>
      <c r="Y590" s="271"/>
      <c r="Z590" s="271"/>
      <c r="AB590" s="273" t="str">
        <f t="shared" si="104"/>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102"/>
        <v/>
      </c>
      <c r="T591" s="222" t="str">
        <f ca="1">IF(B591="","",IF(ISERROR(MATCH($J591,SorP!$B$1:$B$6230,0)),"",INDIRECT("'SorP'!$A$"&amp;MATCH($J591,SorP!$B$1:$B$6230,0))))</f>
        <v/>
      </c>
      <c r="U591" s="238"/>
      <c r="V591" s="270" t="e">
        <f>IF(C591="",NA(),MATCH($B591&amp;$C591,'Smelter Look-up'!$J:$J,0))</f>
        <v>#N/A</v>
      </c>
      <c r="W591" s="271"/>
      <c r="X591" s="271">
        <f t="shared" ca="1" si="103"/>
        <v>0</v>
      </c>
      <c r="Y591" s="271"/>
      <c r="Z591" s="271"/>
      <c r="AB591" s="273" t="str">
        <f t="shared" si="104"/>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102"/>
        <v/>
      </c>
      <c r="T592" s="222" t="str">
        <f ca="1">IF(B592="","",IF(ISERROR(MATCH($J592,SorP!$B$1:$B$6230,0)),"",INDIRECT("'SorP'!$A$"&amp;MATCH($J592,SorP!$B$1:$B$6230,0))))</f>
        <v/>
      </c>
      <c r="U592" s="238"/>
      <c r="V592" s="270" t="e">
        <f>IF(C592="",NA(),MATCH($B592&amp;$C592,'Smelter Look-up'!$J:$J,0))</f>
        <v>#N/A</v>
      </c>
      <c r="W592" s="271"/>
      <c r="X592" s="271">
        <f t="shared" ca="1" si="103"/>
        <v>0</v>
      </c>
      <c r="Y592" s="271"/>
      <c r="Z592" s="271"/>
      <c r="AB592" s="273" t="str">
        <f t="shared" si="104"/>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102"/>
        <v/>
      </c>
      <c r="T593" s="222" t="str">
        <f ca="1">IF(B593="","",IF(ISERROR(MATCH($J593,SorP!$B$1:$B$6230,0)),"",INDIRECT("'SorP'!$A$"&amp;MATCH($J593,SorP!$B$1:$B$6230,0))))</f>
        <v/>
      </c>
      <c r="U593" s="238"/>
      <c r="V593" s="270" t="e">
        <f>IF(C593="",NA(),MATCH($B593&amp;$C593,'Smelter Look-up'!$J:$J,0))</f>
        <v>#N/A</v>
      </c>
      <c r="W593" s="271"/>
      <c r="X593" s="271">
        <f t="shared" ca="1" si="103"/>
        <v>0</v>
      </c>
      <c r="Y593" s="271"/>
      <c r="Z593" s="271"/>
      <c r="AB593" s="273" t="str">
        <f t="shared" si="104"/>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102"/>
        <v/>
      </c>
      <c r="T594" s="222" t="str">
        <f ca="1">IF(B594="","",IF(ISERROR(MATCH($J594,SorP!$B$1:$B$6230,0)),"",INDIRECT("'SorP'!$A$"&amp;MATCH($J594,SorP!$B$1:$B$6230,0))))</f>
        <v/>
      </c>
      <c r="U594" s="238"/>
      <c r="V594" s="270" t="e">
        <f>IF(C594="",NA(),MATCH($B594&amp;$C594,'Smelter Look-up'!$J:$J,0))</f>
        <v>#N/A</v>
      </c>
      <c r="W594" s="271"/>
      <c r="X594" s="271">
        <f t="shared" ca="1" si="103"/>
        <v>0</v>
      </c>
      <c r="Y594" s="271"/>
      <c r="Z594" s="271"/>
      <c r="AB594" s="273" t="str">
        <f t="shared" si="104"/>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102"/>
        <v/>
      </c>
      <c r="T595" s="222" t="str">
        <f ca="1">IF(B595="","",IF(ISERROR(MATCH($J595,SorP!$B$1:$B$6230,0)),"",INDIRECT("'SorP'!$A$"&amp;MATCH($J595,SorP!$B$1:$B$6230,0))))</f>
        <v/>
      </c>
      <c r="U595" s="238"/>
      <c r="V595" s="270" t="e">
        <f>IF(C595="",NA(),MATCH($B595&amp;$C595,'Smelter Look-up'!$J:$J,0))</f>
        <v>#N/A</v>
      </c>
      <c r="W595" s="271"/>
      <c r="X595" s="271">
        <f t="shared" ca="1" si="103"/>
        <v>0</v>
      </c>
      <c r="Y595" s="271"/>
      <c r="Z595" s="271"/>
      <c r="AB595" s="273" t="str">
        <f t="shared" si="104"/>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102"/>
        <v/>
      </c>
      <c r="T596" s="222" t="str">
        <f ca="1">IF(B596="","",IF(ISERROR(MATCH($J596,SorP!$B$1:$B$6230,0)),"",INDIRECT("'SorP'!$A$"&amp;MATCH($J596,SorP!$B$1:$B$6230,0))))</f>
        <v/>
      </c>
      <c r="U596" s="238"/>
      <c r="V596" s="270" t="e">
        <f>IF(C596="",NA(),MATCH($B596&amp;$C596,'Smelter Look-up'!$J:$J,0))</f>
        <v>#N/A</v>
      </c>
      <c r="W596" s="271"/>
      <c r="X596" s="271">
        <f t="shared" ca="1" si="103"/>
        <v>0</v>
      </c>
      <c r="Y596" s="271"/>
      <c r="Z596" s="271"/>
      <c r="AB596" s="273" t="str">
        <f t="shared" si="104"/>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102"/>
        <v/>
      </c>
      <c r="T597" s="222" t="str">
        <f ca="1">IF(B597="","",IF(ISERROR(MATCH($J597,SorP!$B$1:$B$6230,0)),"",INDIRECT("'SorP'!$A$"&amp;MATCH($J597,SorP!$B$1:$B$6230,0))))</f>
        <v/>
      </c>
      <c r="U597" s="238"/>
      <c r="V597" s="270" t="e">
        <f>IF(C597="",NA(),MATCH($B597&amp;$C597,'Smelter Look-up'!$J:$J,0))</f>
        <v>#N/A</v>
      </c>
      <c r="W597" s="271"/>
      <c r="X597" s="271">
        <f t="shared" ca="1" si="103"/>
        <v>0</v>
      </c>
      <c r="Y597" s="271"/>
      <c r="Z597" s="271"/>
      <c r="AB597" s="273" t="str">
        <f t="shared" si="104"/>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102"/>
        <v/>
      </c>
      <c r="T598" s="222" t="str">
        <f ca="1">IF(B598="","",IF(ISERROR(MATCH($J598,SorP!$B$1:$B$6230,0)),"",INDIRECT("'SorP'!$A$"&amp;MATCH($J598,SorP!$B$1:$B$6230,0))))</f>
        <v/>
      </c>
      <c r="U598" s="238"/>
      <c r="V598" s="270" t="e">
        <f>IF(C598="",NA(),MATCH($B598&amp;$C598,'Smelter Look-up'!$J:$J,0))</f>
        <v>#N/A</v>
      </c>
      <c r="W598" s="271"/>
      <c r="X598" s="271">
        <f t="shared" ca="1" si="103"/>
        <v>0</v>
      </c>
      <c r="Y598" s="271"/>
      <c r="Z598" s="271"/>
      <c r="AB598" s="273" t="str">
        <f t="shared" si="104"/>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102"/>
        <v/>
      </c>
      <c r="T599" s="222" t="str">
        <f ca="1">IF(B599="","",IF(ISERROR(MATCH($J599,SorP!$B$1:$B$6230,0)),"",INDIRECT("'SorP'!$A$"&amp;MATCH($J599,SorP!$B$1:$B$6230,0))))</f>
        <v/>
      </c>
      <c r="U599" s="238"/>
      <c r="V599" s="270" t="e">
        <f>IF(C599="",NA(),MATCH($B599&amp;$C599,'Smelter Look-up'!$J:$J,0))</f>
        <v>#N/A</v>
      </c>
      <c r="W599" s="271"/>
      <c r="X599" s="271">
        <f t="shared" ca="1" si="103"/>
        <v>0</v>
      </c>
      <c r="Y599" s="271"/>
      <c r="Z599" s="271"/>
      <c r="AB599" s="273" t="str">
        <f t="shared" si="104"/>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ref="S600" ca="1" si="105">IF(B600="","",IF(ISERROR(MATCH($E600,CL,0)),"Unknown",INDIRECT("'C'!$A$"&amp;MATCH($E600,CL,0)+1)))</f>
        <v/>
      </c>
      <c r="T600" s="222" t="str">
        <f ca="1">IF(B600="","",IF(ISERROR(MATCH($J600,SorP!$B$1:$B$6230,0)),"",INDIRECT("'SorP'!$A$"&amp;MATCH($J600,SorP!$B$1:$B$6230,0))))</f>
        <v/>
      </c>
      <c r="U600" s="238"/>
      <c r="V600" s="270" t="e">
        <f>IF(C600="",NA(),MATCH($B600&amp;$C600,'Smelter Look-up'!$J:$J,0))</f>
        <v>#N/A</v>
      </c>
      <c r="W600" s="271"/>
      <c r="X600" s="271">
        <f t="shared" ref="X600" ca="1" si="106">IF(AND(C600="Smelter not listed",OR(LEN(D600)=0,LEN(E600)=0)),1,0)</f>
        <v>0</v>
      </c>
      <c r="Y600" s="271"/>
      <c r="Z600" s="271"/>
      <c r="AB600" s="273" t="str">
        <f t="shared" ref="AB600" si="107">B600&amp;C600</f>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ref="S601:S632" ca="1" si="108">IF(B601="","",IF(ISERROR(MATCH($E601,CL,0)),"Unknown",INDIRECT("'C'!$A$"&amp;MATCH($E601,CL,0)+1)))</f>
        <v/>
      </c>
      <c r="T601" s="222" t="str">
        <f ca="1">IF(B601="","",IF(ISERROR(MATCH($J601,SorP!$B$1:$B$6230,0)),"",INDIRECT("'SorP'!$A$"&amp;MATCH($J601,SorP!$B$1:$B$6230,0))))</f>
        <v/>
      </c>
      <c r="U601" s="238"/>
      <c r="V601" s="270" t="e">
        <f>IF(C601="",NA(),MATCH($B601&amp;$C601,'Smelter Look-up'!$J:$J,0))</f>
        <v>#N/A</v>
      </c>
      <c r="W601" s="271"/>
      <c r="X601" s="271">
        <f t="shared" ref="X601:X632" ca="1" si="109">IF(AND(C601="Smelter not listed",OR(LEN(D601)=0,LEN(E601)=0)),1,0)</f>
        <v>0</v>
      </c>
      <c r="Y601" s="271"/>
      <c r="Z601" s="271"/>
      <c r="AB601" s="273" t="str">
        <f t="shared" ref="AB601:AB632" si="110">B601&amp;C601</f>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108"/>
        <v/>
      </c>
      <c r="T602" s="222" t="str">
        <f ca="1">IF(B602="","",IF(ISERROR(MATCH($J602,SorP!$B$1:$B$6230,0)),"",INDIRECT("'SorP'!$A$"&amp;MATCH($J602,SorP!$B$1:$B$6230,0))))</f>
        <v/>
      </c>
      <c r="U602" s="238"/>
      <c r="V602" s="270" t="e">
        <f>IF(C602="",NA(),MATCH($B602&amp;$C602,'Smelter Look-up'!$J:$J,0))</f>
        <v>#N/A</v>
      </c>
      <c r="W602" s="271"/>
      <c r="X602" s="271">
        <f t="shared" ca="1" si="109"/>
        <v>0</v>
      </c>
      <c r="Y602" s="271"/>
      <c r="Z602" s="271"/>
      <c r="AB602" s="273" t="str">
        <f t="shared" si="110"/>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108"/>
        <v/>
      </c>
      <c r="T603" s="222" t="str">
        <f ca="1">IF(B603="","",IF(ISERROR(MATCH($J603,SorP!$B$1:$B$6230,0)),"",INDIRECT("'SorP'!$A$"&amp;MATCH($J603,SorP!$B$1:$B$6230,0))))</f>
        <v/>
      </c>
      <c r="U603" s="238"/>
      <c r="V603" s="270" t="e">
        <f>IF(C603="",NA(),MATCH($B603&amp;$C603,'Smelter Look-up'!$J:$J,0))</f>
        <v>#N/A</v>
      </c>
      <c r="W603" s="271"/>
      <c r="X603" s="271">
        <f t="shared" ca="1" si="109"/>
        <v>0</v>
      </c>
      <c r="Y603" s="271"/>
      <c r="Z603" s="271"/>
      <c r="AB603" s="273" t="str">
        <f t="shared" si="110"/>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108"/>
        <v/>
      </c>
      <c r="T604" s="222" t="str">
        <f ca="1">IF(B604="","",IF(ISERROR(MATCH($J604,SorP!$B$1:$B$6230,0)),"",INDIRECT("'SorP'!$A$"&amp;MATCH($J604,SorP!$B$1:$B$6230,0))))</f>
        <v/>
      </c>
      <c r="U604" s="238"/>
      <c r="V604" s="270" t="e">
        <f>IF(C604="",NA(),MATCH($B604&amp;$C604,'Smelter Look-up'!$J:$J,0))</f>
        <v>#N/A</v>
      </c>
      <c r="W604" s="271"/>
      <c r="X604" s="271">
        <f t="shared" ca="1" si="109"/>
        <v>0</v>
      </c>
      <c r="Y604" s="271"/>
      <c r="Z604" s="271"/>
      <c r="AB604" s="273" t="str">
        <f t="shared" si="110"/>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108"/>
        <v/>
      </c>
      <c r="T605" s="222" t="str">
        <f ca="1">IF(B605="","",IF(ISERROR(MATCH($J605,SorP!$B$1:$B$6230,0)),"",INDIRECT("'SorP'!$A$"&amp;MATCH($J605,SorP!$B$1:$B$6230,0))))</f>
        <v/>
      </c>
      <c r="U605" s="238"/>
      <c r="V605" s="270" t="e">
        <f>IF(C605="",NA(),MATCH($B605&amp;$C605,'Smelter Look-up'!$J:$J,0))</f>
        <v>#N/A</v>
      </c>
      <c r="W605" s="271"/>
      <c r="X605" s="271">
        <f t="shared" ca="1" si="109"/>
        <v>0</v>
      </c>
      <c r="Y605" s="271"/>
      <c r="Z605" s="271"/>
      <c r="AB605" s="273" t="str">
        <f t="shared" si="110"/>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108"/>
        <v/>
      </c>
      <c r="T606" s="222" t="str">
        <f ca="1">IF(B606="","",IF(ISERROR(MATCH($J606,SorP!$B$1:$B$6230,0)),"",INDIRECT("'SorP'!$A$"&amp;MATCH($J606,SorP!$B$1:$B$6230,0))))</f>
        <v/>
      </c>
      <c r="U606" s="238"/>
      <c r="V606" s="270" t="e">
        <f>IF(C606="",NA(),MATCH($B606&amp;$C606,'Smelter Look-up'!$J:$J,0))</f>
        <v>#N/A</v>
      </c>
      <c r="W606" s="271"/>
      <c r="X606" s="271">
        <f t="shared" ca="1" si="109"/>
        <v>0</v>
      </c>
      <c r="Y606" s="271"/>
      <c r="Z606" s="271"/>
      <c r="AB606" s="273" t="str">
        <f t="shared" si="110"/>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108"/>
        <v/>
      </c>
      <c r="T607" s="222" t="str">
        <f ca="1">IF(B607="","",IF(ISERROR(MATCH($J607,SorP!$B$1:$B$6230,0)),"",INDIRECT("'SorP'!$A$"&amp;MATCH($J607,SorP!$B$1:$B$6230,0))))</f>
        <v/>
      </c>
      <c r="U607" s="238"/>
      <c r="V607" s="270" t="e">
        <f>IF(C607="",NA(),MATCH($B607&amp;$C607,'Smelter Look-up'!$J:$J,0))</f>
        <v>#N/A</v>
      </c>
      <c r="W607" s="271"/>
      <c r="X607" s="271">
        <f t="shared" ca="1" si="109"/>
        <v>0</v>
      </c>
      <c r="Y607" s="271"/>
      <c r="Z607" s="271"/>
      <c r="AB607" s="273" t="str">
        <f t="shared" si="110"/>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108"/>
        <v/>
      </c>
      <c r="T608" s="222" t="str">
        <f ca="1">IF(B608="","",IF(ISERROR(MATCH($J608,SorP!$B$1:$B$6230,0)),"",INDIRECT("'SorP'!$A$"&amp;MATCH($J608,SorP!$B$1:$B$6230,0))))</f>
        <v/>
      </c>
      <c r="U608" s="238"/>
      <c r="V608" s="270" t="e">
        <f>IF(C608="",NA(),MATCH($B608&amp;$C608,'Smelter Look-up'!$J:$J,0))</f>
        <v>#N/A</v>
      </c>
      <c r="W608" s="271"/>
      <c r="X608" s="271">
        <f t="shared" ca="1" si="109"/>
        <v>0</v>
      </c>
      <c r="Y608" s="271"/>
      <c r="Z608" s="271"/>
      <c r="AB608" s="273" t="str">
        <f t="shared" si="110"/>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108"/>
        <v/>
      </c>
      <c r="T609" s="222" t="str">
        <f ca="1">IF(B609="","",IF(ISERROR(MATCH($J609,SorP!$B$1:$B$6230,0)),"",INDIRECT("'SorP'!$A$"&amp;MATCH($J609,SorP!$B$1:$B$6230,0))))</f>
        <v/>
      </c>
      <c r="U609" s="238"/>
      <c r="V609" s="270" t="e">
        <f>IF(C609="",NA(),MATCH($B609&amp;$C609,'Smelter Look-up'!$J:$J,0))</f>
        <v>#N/A</v>
      </c>
      <c r="W609" s="271"/>
      <c r="X609" s="271">
        <f t="shared" ca="1" si="109"/>
        <v>0</v>
      </c>
      <c r="Y609" s="271"/>
      <c r="Z609" s="271"/>
      <c r="AB609" s="273" t="str">
        <f t="shared" si="110"/>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108"/>
        <v/>
      </c>
      <c r="T610" s="222" t="str">
        <f ca="1">IF(B610="","",IF(ISERROR(MATCH($J610,SorP!$B$1:$B$6230,0)),"",INDIRECT("'SorP'!$A$"&amp;MATCH($J610,SorP!$B$1:$B$6230,0))))</f>
        <v/>
      </c>
      <c r="U610" s="238"/>
      <c r="V610" s="270" t="e">
        <f>IF(C610="",NA(),MATCH($B610&amp;$C610,'Smelter Look-up'!$J:$J,0))</f>
        <v>#N/A</v>
      </c>
      <c r="W610" s="271"/>
      <c r="X610" s="271">
        <f t="shared" ca="1" si="109"/>
        <v>0</v>
      </c>
      <c r="Y610" s="271"/>
      <c r="Z610" s="271"/>
      <c r="AB610" s="273" t="str">
        <f t="shared" si="110"/>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108"/>
        <v/>
      </c>
      <c r="T611" s="222" t="str">
        <f ca="1">IF(B611="","",IF(ISERROR(MATCH($J611,SorP!$B$1:$B$6230,0)),"",INDIRECT("'SorP'!$A$"&amp;MATCH($J611,SorP!$B$1:$B$6230,0))))</f>
        <v/>
      </c>
      <c r="U611" s="238"/>
      <c r="V611" s="270" t="e">
        <f>IF(C611="",NA(),MATCH($B611&amp;$C611,'Smelter Look-up'!$J:$J,0))</f>
        <v>#N/A</v>
      </c>
      <c r="W611" s="271"/>
      <c r="X611" s="271">
        <f t="shared" ca="1" si="109"/>
        <v>0</v>
      </c>
      <c r="Y611" s="271"/>
      <c r="Z611" s="271"/>
      <c r="AB611" s="273" t="str">
        <f t="shared" si="110"/>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108"/>
        <v/>
      </c>
      <c r="T612" s="222" t="str">
        <f ca="1">IF(B612="","",IF(ISERROR(MATCH($J612,SorP!$B$1:$B$6230,0)),"",INDIRECT("'SorP'!$A$"&amp;MATCH($J612,SorP!$B$1:$B$6230,0))))</f>
        <v/>
      </c>
      <c r="U612" s="238"/>
      <c r="V612" s="270" t="e">
        <f>IF(C612="",NA(),MATCH($B612&amp;$C612,'Smelter Look-up'!$J:$J,0))</f>
        <v>#N/A</v>
      </c>
      <c r="W612" s="271"/>
      <c r="X612" s="271">
        <f t="shared" ca="1" si="109"/>
        <v>0</v>
      </c>
      <c r="Y612" s="271"/>
      <c r="Z612" s="271"/>
      <c r="AB612" s="273" t="str">
        <f t="shared" si="110"/>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108"/>
        <v/>
      </c>
      <c r="T613" s="222" t="str">
        <f ca="1">IF(B613="","",IF(ISERROR(MATCH($J613,SorP!$B$1:$B$6230,0)),"",INDIRECT("'SorP'!$A$"&amp;MATCH($J613,SorP!$B$1:$B$6230,0))))</f>
        <v/>
      </c>
      <c r="U613" s="238"/>
      <c r="V613" s="270" t="e">
        <f>IF(C613="",NA(),MATCH($B613&amp;$C613,'Smelter Look-up'!$J:$J,0))</f>
        <v>#N/A</v>
      </c>
      <c r="W613" s="271"/>
      <c r="X613" s="271">
        <f t="shared" ca="1" si="109"/>
        <v>0</v>
      </c>
      <c r="Y613" s="271"/>
      <c r="Z613" s="271"/>
      <c r="AB613" s="273" t="str">
        <f t="shared" si="110"/>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108"/>
        <v/>
      </c>
      <c r="T614" s="222" t="str">
        <f ca="1">IF(B614="","",IF(ISERROR(MATCH($J614,SorP!$B$1:$B$6230,0)),"",INDIRECT("'SorP'!$A$"&amp;MATCH($J614,SorP!$B$1:$B$6230,0))))</f>
        <v/>
      </c>
      <c r="U614" s="238"/>
      <c r="V614" s="270" t="e">
        <f>IF(C614="",NA(),MATCH($B614&amp;$C614,'Smelter Look-up'!$J:$J,0))</f>
        <v>#N/A</v>
      </c>
      <c r="W614" s="271"/>
      <c r="X614" s="271">
        <f t="shared" ca="1" si="109"/>
        <v>0</v>
      </c>
      <c r="Y614" s="271"/>
      <c r="Z614" s="271"/>
      <c r="AB614" s="273" t="str">
        <f t="shared" si="110"/>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108"/>
        <v/>
      </c>
      <c r="T615" s="222" t="str">
        <f ca="1">IF(B615="","",IF(ISERROR(MATCH($J615,SorP!$B$1:$B$6230,0)),"",INDIRECT("'SorP'!$A$"&amp;MATCH($J615,SorP!$B$1:$B$6230,0))))</f>
        <v/>
      </c>
      <c r="U615" s="238"/>
      <c r="V615" s="270" t="e">
        <f>IF(C615="",NA(),MATCH($B615&amp;$C615,'Smelter Look-up'!$J:$J,0))</f>
        <v>#N/A</v>
      </c>
      <c r="W615" s="271"/>
      <c r="X615" s="271">
        <f t="shared" ca="1" si="109"/>
        <v>0</v>
      </c>
      <c r="Y615" s="271"/>
      <c r="Z615" s="271"/>
      <c r="AB615" s="273" t="str">
        <f t="shared" si="110"/>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108"/>
        <v/>
      </c>
      <c r="T616" s="222" t="str">
        <f ca="1">IF(B616="","",IF(ISERROR(MATCH($J616,SorP!$B$1:$B$6230,0)),"",INDIRECT("'SorP'!$A$"&amp;MATCH($J616,SorP!$B$1:$B$6230,0))))</f>
        <v/>
      </c>
      <c r="U616" s="238"/>
      <c r="V616" s="270" t="e">
        <f>IF(C616="",NA(),MATCH($B616&amp;$C616,'Smelter Look-up'!$J:$J,0))</f>
        <v>#N/A</v>
      </c>
      <c r="W616" s="271"/>
      <c r="X616" s="271">
        <f t="shared" ca="1" si="109"/>
        <v>0</v>
      </c>
      <c r="Y616" s="271"/>
      <c r="Z616" s="271"/>
      <c r="AB616" s="273" t="str">
        <f t="shared" si="110"/>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108"/>
        <v/>
      </c>
      <c r="T617" s="222" t="str">
        <f ca="1">IF(B617="","",IF(ISERROR(MATCH($J617,SorP!$B$1:$B$6230,0)),"",INDIRECT("'SorP'!$A$"&amp;MATCH($J617,SorP!$B$1:$B$6230,0))))</f>
        <v/>
      </c>
      <c r="U617" s="238"/>
      <c r="V617" s="270" t="e">
        <f>IF(C617="",NA(),MATCH($B617&amp;$C617,'Smelter Look-up'!$J:$J,0))</f>
        <v>#N/A</v>
      </c>
      <c r="W617" s="271"/>
      <c r="X617" s="271">
        <f t="shared" ca="1" si="109"/>
        <v>0</v>
      </c>
      <c r="Y617" s="271"/>
      <c r="Z617" s="271"/>
      <c r="AB617" s="273" t="str">
        <f t="shared" si="110"/>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108"/>
        <v/>
      </c>
      <c r="T618" s="222" t="str">
        <f ca="1">IF(B618="","",IF(ISERROR(MATCH($J618,SorP!$B$1:$B$6230,0)),"",INDIRECT("'SorP'!$A$"&amp;MATCH($J618,SorP!$B$1:$B$6230,0))))</f>
        <v/>
      </c>
      <c r="U618" s="238"/>
      <c r="V618" s="270" t="e">
        <f>IF(C618="",NA(),MATCH($B618&amp;$C618,'Smelter Look-up'!$J:$J,0))</f>
        <v>#N/A</v>
      </c>
      <c r="W618" s="271"/>
      <c r="X618" s="271">
        <f t="shared" ca="1" si="109"/>
        <v>0</v>
      </c>
      <c r="Y618" s="271"/>
      <c r="Z618" s="271"/>
      <c r="AB618" s="273" t="str">
        <f t="shared" si="110"/>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108"/>
        <v/>
      </c>
      <c r="T619" s="222" t="str">
        <f ca="1">IF(B619="","",IF(ISERROR(MATCH($J619,SorP!$B$1:$B$6230,0)),"",INDIRECT("'SorP'!$A$"&amp;MATCH($J619,SorP!$B$1:$B$6230,0))))</f>
        <v/>
      </c>
      <c r="U619" s="238"/>
      <c r="V619" s="270" t="e">
        <f>IF(C619="",NA(),MATCH($B619&amp;$C619,'Smelter Look-up'!$J:$J,0))</f>
        <v>#N/A</v>
      </c>
      <c r="W619" s="271"/>
      <c r="X619" s="271">
        <f t="shared" ca="1" si="109"/>
        <v>0</v>
      </c>
      <c r="Y619" s="271"/>
      <c r="Z619" s="271"/>
      <c r="AB619" s="273" t="str">
        <f t="shared" si="110"/>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108"/>
        <v/>
      </c>
      <c r="T620" s="222" t="str">
        <f ca="1">IF(B620="","",IF(ISERROR(MATCH($J620,SorP!$B$1:$B$6230,0)),"",INDIRECT("'SorP'!$A$"&amp;MATCH($J620,SorP!$B$1:$B$6230,0))))</f>
        <v/>
      </c>
      <c r="U620" s="238"/>
      <c r="V620" s="270" t="e">
        <f>IF(C620="",NA(),MATCH($B620&amp;$C620,'Smelter Look-up'!$J:$J,0))</f>
        <v>#N/A</v>
      </c>
      <c r="W620" s="271"/>
      <c r="X620" s="271">
        <f t="shared" ca="1" si="109"/>
        <v>0</v>
      </c>
      <c r="Y620" s="271"/>
      <c r="Z620" s="271"/>
      <c r="AB620" s="273" t="str">
        <f t="shared" si="110"/>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108"/>
        <v/>
      </c>
      <c r="T621" s="222" t="str">
        <f ca="1">IF(B621="","",IF(ISERROR(MATCH($J621,SorP!$B$1:$B$6230,0)),"",INDIRECT("'SorP'!$A$"&amp;MATCH($J621,SorP!$B$1:$B$6230,0))))</f>
        <v/>
      </c>
      <c r="U621" s="238"/>
      <c r="V621" s="270" t="e">
        <f>IF(C621="",NA(),MATCH($B621&amp;$C621,'Smelter Look-up'!$J:$J,0))</f>
        <v>#N/A</v>
      </c>
      <c r="W621" s="271"/>
      <c r="X621" s="271">
        <f t="shared" ca="1" si="109"/>
        <v>0</v>
      </c>
      <c r="Y621" s="271"/>
      <c r="Z621" s="271"/>
      <c r="AB621" s="273" t="str">
        <f t="shared" si="110"/>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108"/>
        <v/>
      </c>
      <c r="T622" s="222" t="str">
        <f ca="1">IF(B622="","",IF(ISERROR(MATCH($J622,SorP!$B$1:$B$6230,0)),"",INDIRECT("'SorP'!$A$"&amp;MATCH($J622,SorP!$B$1:$B$6230,0))))</f>
        <v/>
      </c>
      <c r="U622" s="238"/>
      <c r="V622" s="270" t="e">
        <f>IF(C622="",NA(),MATCH($B622&amp;$C622,'Smelter Look-up'!$J:$J,0))</f>
        <v>#N/A</v>
      </c>
      <c r="W622" s="271"/>
      <c r="X622" s="271">
        <f t="shared" ca="1" si="109"/>
        <v>0</v>
      </c>
      <c r="Y622" s="271"/>
      <c r="Z622" s="271"/>
      <c r="AB622" s="273" t="str">
        <f t="shared" si="110"/>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108"/>
        <v/>
      </c>
      <c r="T623" s="222" t="str">
        <f ca="1">IF(B623="","",IF(ISERROR(MATCH($J623,SorP!$B$1:$B$6230,0)),"",INDIRECT("'SorP'!$A$"&amp;MATCH($J623,SorP!$B$1:$B$6230,0))))</f>
        <v/>
      </c>
      <c r="U623" s="238"/>
      <c r="V623" s="270" t="e">
        <f>IF(C623="",NA(),MATCH($B623&amp;$C623,'Smelter Look-up'!$J:$J,0))</f>
        <v>#N/A</v>
      </c>
      <c r="W623" s="271"/>
      <c r="X623" s="271">
        <f t="shared" ca="1" si="109"/>
        <v>0</v>
      </c>
      <c r="Y623" s="271"/>
      <c r="Z623" s="271"/>
      <c r="AB623" s="273" t="str">
        <f t="shared" si="110"/>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108"/>
        <v/>
      </c>
      <c r="T624" s="222" t="str">
        <f ca="1">IF(B624="","",IF(ISERROR(MATCH($J624,SorP!$B$1:$B$6230,0)),"",INDIRECT("'SorP'!$A$"&amp;MATCH($J624,SorP!$B$1:$B$6230,0))))</f>
        <v/>
      </c>
      <c r="U624" s="238"/>
      <c r="V624" s="270" t="e">
        <f>IF(C624="",NA(),MATCH($B624&amp;$C624,'Smelter Look-up'!$J:$J,0))</f>
        <v>#N/A</v>
      </c>
      <c r="W624" s="271"/>
      <c r="X624" s="271">
        <f t="shared" ca="1" si="109"/>
        <v>0</v>
      </c>
      <c r="Y624" s="271"/>
      <c r="Z624" s="271"/>
      <c r="AB624" s="273" t="str">
        <f t="shared" si="110"/>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108"/>
        <v/>
      </c>
      <c r="T625" s="222" t="str">
        <f ca="1">IF(B625="","",IF(ISERROR(MATCH($J625,SorP!$B$1:$B$6230,0)),"",INDIRECT("'SorP'!$A$"&amp;MATCH($J625,SorP!$B$1:$B$6230,0))))</f>
        <v/>
      </c>
      <c r="U625" s="238"/>
      <c r="V625" s="270" t="e">
        <f>IF(C625="",NA(),MATCH($B625&amp;$C625,'Smelter Look-up'!$J:$J,0))</f>
        <v>#N/A</v>
      </c>
      <c r="W625" s="271"/>
      <c r="X625" s="271">
        <f t="shared" ca="1" si="109"/>
        <v>0</v>
      </c>
      <c r="Y625" s="271"/>
      <c r="Z625" s="271"/>
      <c r="AB625" s="273" t="str">
        <f t="shared" si="110"/>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108"/>
        <v/>
      </c>
      <c r="T626" s="222" t="str">
        <f ca="1">IF(B626="","",IF(ISERROR(MATCH($J626,SorP!$B$1:$B$6230,0)),"",INDIRECT("'SorP'!$A$"&amp;MATCH($J626,SorP!$B$1:$B$6230,0))))</f>
        <v/>
      </c>
      <c r="U626" s="238"/>
      <c r="V626" s="270" t="e">
        <f>IF(C626="",NA(),MATCH($B626&amp;$C626,'Smelter Look-up'!$J:$J,0))</f>
        <v>#N/A</v>
      </c>
      <c r="W626" s="271"/>
      <c r="X626" s="271">
        <f t="shared" ca="1" si="109"/>
        <v>0</v>
      </c>
      <c r="Y626" s="271"/>
      <c r="Z626" s="271"/>
      <c r="AB626" s="273" t="str">
        <f t="shared" si="110"/>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108"/>
        <v/>
      </c>
      <c r="T627" s="222" t="str">
        <f ca="1">IF(B627="","",IF(ISERROR(MATCH($J627,SorP!$B$1:$B$6230,0)),"",INDIRECT("'SorP'!$A$"&amp;MATCH($J627,SorP!$B$1:$B$6230,0))))</f>
        <v/>
      </c>
      <c r="U627" s="238"/>
      <c r="V627" s="270" t="e">
        <f>IF(C627="",NA(),MATCH($B627&amp;$C627,'Smelter Look-up'!$J:$J,0))</f>
        <v>#N/A</v>
      </c>
      <c r="W627" s="271"/>
      <c r="X627" s="271">
        <f t="shared" ca="1" si="109"/>
        <v>0</v>
      </c>
      <c r="Y627" s="271"/>
      <c r="Z627" s="271"/>
      <c r="AB627" s="273" t="str">
        <f t="shared" si="110"/>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108"/>
        <v/>
      </c>
      <c r="T628" s="222" t="str">
        <f ca="1">IF(B628="","",IF(ISERROR(MATCH($J628,SorP!$B$1:$B$6230,0)),"",INDIRECT("'SorP'!$A$"&amp;MATCH($J628,SorP!$B$1:$B$6230,0))))</f>
        <v/>
      </c>
      <c r="U628" s="238"/>
      <c r="V628" s="270" t="e">
        <f>IF(C628="",NA(),MATCH($B628&amp;$C628,'Smelter Look-up'!$J:$J,0))</f>
        <v>#N/A</v>
      </c>
      <c r="W628" s="271"/>
      <c r="X628" s="271">
        <f t="shared" ca="1" si="109"/>
        <v>0</v>
      </c>
      <c r="Y628" s="271"/>
      <c r="Z628" s="271"/>
      <c r="AB628" s="273" t="str">
        <f t="shared" si="110"/>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108"/>
        <v/>
      </c>
      <c r="T629" s="222" t="str">
        <f ca="1">IF(B629="","",IF(ISERROR(MATCH($J629,SorP!$B$1:$B$6230,0)),"",INDIRECT("'SorP'!$A$"&amp;MATCH($J629,SorP!$B$1:$B$6230,0))))</f>
        <v/>
      </c>
      <c r="U629" s="238"/>
      <c r="V629" s="270" t="e">
        <f>IF(C629="",NA(),MATCH($B629&amp;$C629,'Smelter Look-up'!$J:$J,0))</f>
        <v>#N/A</v>
      </c>
      <c r="W629" s="271"/>
      <c r="X629" s="271">
        <f t="shared" ca="1" si="109"/>
        <v>0</v>
      </c>
      <c r="Y629" s="271"/>
      <c r="Z629" s="271"/>
      <c r="AB629" s="273" t="str">
        <f t="shared" si="110"/>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108"/>
        <v/>
      </c>
      <c r="T630" s="222" t="str">
        <f ca="1">IF(B630="","",IF(ISERROR(MATCH($J630,SorP!$B$1:$B$6230,0)),"",INDIRECT("'SorP'!$A$"&amp;MATCH($J630,SorP!$B$1:$B$6230,0))))</f>
        <v/>
      </c>
      <c r="U630" s="238"/>
      <c r="V630" s="270" t="e">
        <f>IF(C630="",NA(),MATCH($B630&amp;$C630,'Smelter Look-up'!$J:$J,0))</f>
        <v>#N/A</v>
      </c>
      <c r="W630" s="271"/>
      <c r="X630" s="271">
        <f t="shared" ca="1" si="109"/>
        <v>0</v>
      </c>
      <c r="Y630" s="271"/>
      <c r="Z630" s="271"/>
      <c r="AB630" s="273" t="str">
        <f t="shared" si="110"/>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108"/>
        <v/>
      </c>
      <c r="T631" s="222" t="str">
        <f ca="1">IF(B631="","",IF(ISERROR(MATCH($J631,SorP!$B$1:$B$6230,0)),"",INDIRECT("'SorP'!$A$"&amp;MATCH($J631,SorP!$B$1:$B$6230,0))))</f>
        <v/>
      </c>
      <c r="U631" s="238"/>
      <c r="V631" s="270" t="e">
        <f>IF(C631="",NA(),MATCH($B631&amp;$C631,'Smelter Look-up'!$J:$J,0))</f>
        <v>#N/A</v>
      </c>
      <c r="W631" s="271"/>
      <c r="X631" s="271">
        <f t="shared" ca="1" si="109"/>
        <v>0</v>
      </c>
      <c r="Y631" s="271"/>
      <c r="Z631" s="271"/>
      <c r="AB631" s="273" t="str">
        <f t="shared" si="110"/>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108"/>
        <v/>
      </c>
      <c r="T632" s="222" t="str">
        <f ca="1">IF(B632="","",IF(ISERROR(MATCH($J632,SorP!$B$1:$B$6230,0)),"",INDIRECT("'SorP'!$A$"&amp;MATCH($J632,SorP!$B$1:$B$6230,0))))</f>
        <v/>
      </c>
      <c r="U632" s="238"/>
      <c r="V632" s="270" t="e">
        <f>IF(C632="",NA(),MATCH($B632&amp;$C632,'Smelter Look-up'!$J:$J,0))</f>
        <v>#N/A</v>
      </c>
      <c r="W632" s="271"/>
      <c r="X632" s="271">
        <f t="shared" ca="1" si="109"/>
        <v>0</v>
      </c>
      <c r="Y632" s="271"/>
      <c r="Z632" s="271"/>
      <c r="AB632" s="273" t="str">
        <f t="shared" si="110"/>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ref="S633:S663" ca="1" si="111">IF(B633="","",IF(ISERROR(MATCH($E633,CL,0)),"Unknown",INDIRECT("'C'!$A$"&amp;MATCH($E633,CL,0)+1)))</f>
        <v/>
      </c>
      <c r="T633" s="222" t="str">
        <f ca="1">IF(B633="","",IF(ISERROR(MATCH($J633,SorP!$B$1:$B$6230,0)),"",INDIRECT("'SorP'!$A$"&amp;MATCH($J633,SorP!$B$1:$B$6230,0))))</f>
        <v/>
      </c>
      <c r="U633" s="238"/>
      <c r="V633" s="270" t="e">
        <f>IF(C633="",NA(),MATCH($B633&amp;$C633,'Smelter Look-up'!$J:$J,0))</f>
        <v>#N/A</v>
      </c>
      <c r="W633" s="271"/>
      <c r="X633" s="271">
        <f t="shared" ref="X633:X663" ca="1" si="112">IF(AND(C633="Smelter not listed",OR(LEN(D633)=0,LEN(E633)=0)),1,0)</f>
        <v>0</v>
      </c>
      <c r="Y633" s="271"/>
      <c r="Z633" s="271"/>
      <c r="AB633" s="273" t="str">
        <f t="shared" ref="AB633:AB663" si="113">B633&amp;C633</f>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111"/>
        <v/>
      </c>
      <c r="T634" s="222" t="str">
        <f ca="1">IF(B634="","",IF(ISERROR(MATCH($J634,SorP!$B$1:$B$6230,0)),"",INDIRECT("'SorP'!$A$"&amp;MATCH($J634,SorP!$B$1:$B$6230,0))))</f>
        <v/>
      </c>
      <c r="U634" s="238"/>
      <c r="V634" s="270" t="e">
        <f>IF(C634="",NA(),MATCH($B634&amp;$C634,'Smelter Look-up'!$J:$J,0))</f>
        <v>#N/A</v>
      </c>
      <c r="W634" s="271"/>
      <c r="X634" s="271">
        <f t="shared" ca="1" si="112"/>
        <v>0</v>
      </c>
      <c r="Y634" s="271"/>
      <c r="Z634" s="271"/>
      <c r="AB634" s="273" t="str">
        <f t="shared" si="113"/>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ca="1" si="111"/>
        <v/>
      </c>
      <c r="T635" s="222" t="str">
        <f ca="1">IF(B635="","",IF(ISERROR(MATCH($J635,SorP!$B$1:$B$6230,0)),"",INDIRECT("'SorP'!$A$"&amp;MATCH($J635,SorP!$B$1:$B$6230,0))))</f>
        <v/>
      </c>
      <c r="U635" s="238"/>
      <c r="V635" s="270" t="e">
        <f>IF(C635="",NA(),MATCH($B635&amp;$C635,'Smelter Look-up'!$J:$J,0))</f>
        <v>#N/A</v>
      </c>
      <c r="W635" s="271"/>
      <c r="X635" s="271">
        <f t="shared" ca="1" si="112"/>
        <v>0</v>
      </c>
      <c r="Y635" s="271"/>
      <c r="Z635" s="271"/>
      <c r="AB635" s="273" t="str">
        <f t="shared" si="113"/>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ca="1" si="111"/>
        <v/>
      </c>
      <c r="T636" s="222" t="str">
        <f ca="1">IF(B636="","",IF(ISERROR(MATCH($J636,SorP!$B$1:$B$6230,0)),"",INDIRECT("'SorP'!$A$"&amp;MATCH($J636,SorP!$B$1:$B$6230,0))))</f>
        <v/>
      </c>
      <c r="U636" s="238"/>
      <c r="V636" s="270" t="e">
        <f>IF(C636="",NA(),MATCH($B636&amp;$C636,'Smelter Look-up'!$J:$J,0))</f>
        <v>#N/A</v>
      </c>
      <c r="W636" s="271"/>
      <c r="X636" s="271">
        <f t="shared" ca="1" si="112"/>
        <v>0</v>
      </c>
      <c r="Y636" s="271"/>
      <c r="Z636" s="271"/>
      <c r="AB636" s="273" t="str">
        <f t="shared" si="113"/>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111"/>
        <v/>
      </c>
      <c r="T637" s="222" t="str">
        <f ca="1">IF(B637="","",IF(ISERROR(MATCH($J637,SorP!$B$1:$B$6230,0)),"",INDIRECT("'SorP'!$A$"&amp;MATCH($J637,SorP!$B$1:$B$6230,0))))</f>
        <v/>
      </c>
      <c r="U637" s="238"/>
      <c r="V637" s="270" t="e">
        <f>IF(C637="",NA(),MATCH($B637&amp;$C637,'Smelter Look-up'!$J:$J,0))</f>
        <v>#N/A</v>
      </c>
      <c r="W637" s="271"/>
      <c r="X637" s="271">
        <f t="shared" ca="1" si="112"/>
        <v>0</v>
      </c>
      <c r="Y637" s="271"/>
      <c r="Z637" s="271"/>
      <c r="AB637" s="273" t="str">
        <f t="shared" si="113"/>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111"/>
        <v/>
      </c>
      <c r="T638" s="222" t="str">
        <f ca="1">IF(B638="","",IF(ISERROR(MATCH($J638,SorP!$B$1:$B$6230,0)),"",INDIRECT("'SorP'!$A$"&amp;MATCH($J638,SorP!$B$1:$B$6230,0))))</f>
        <v/>
      </c>
      <c r="U638" s="238"/>
      <c r="V638" s="270" t="e">
        <f>IF(C638="",NA(),MATCH($B638&amp;$C638,'Smelter Look-up'!$J:$J,0))</f>
        <v>#N/A</v>
      </c>
      <c r="W638" s="271"/>
      <c r="X638" s="271">
        <f t="shared" ca="1" si="112"/>
        <v>0</v>
      </c>
      <c r="Y638" s="271"/>
      <c r="Z638" s="271"/>
      <c r="AB638" s="273" t="str">
        <f t="shared" si="113"/>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111"/>
        <v/>
      </c>
      <c r="T639" s="222" t="str">
        <f ca="1">IF(B639="","",IF(ISERROR(MATCH($J639,SorP!$B$1:$B$6230,0)),"",INDIRECT("'SorP'!$A$"&amp;MATCH($J639,SorP!$B$1:$B$6230,0))))</f>
        <v/>
      </c>
      <c r="U639" s="238"/>
      <c r="V639" s="270" t="e">
        <f>IF(C639="",NA(),MATCH($B639&amp;$C639,'Smelter Look-up'!$J:$J,0))</f>
        <v>#N/A</v>
      </c>
      <c r="W639" s="271"/>
      <c r="X639" s="271">
        <f t="shared" ca="1" si="112"/>
        <v>0</v>
      </c>
      <c r="Y639" s="271"/>
      <c r="Z639" s="271"/>
      <c r="AB639" s="273" t="str">
        <f t="shared" si="113"/>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111"/>
        <v/>
      </c>
      <c r="T640" s="222" t="str">
        <f ca="1">IF(B640="","",IF(ISERROR(MATCH($J640,SorP!$B$1:$B$6230,0)),"",INDIRECT("'SorP'!$A$"&amp;MATCH($J640,SorP!$B$1:$B$6230,0))))</f>
        <v/>
      </c>
      <c r="U640" s="238"/>
      <c r="V640" s="270" t="e">
        <f>IF(C640="",NA(),MATCH($B640&amp;$C640,'Smelter Look-up'!$J:$J,0))</f>
        <v>#N/A</v>
      </c>
      <c r="W640" s="271"/>
      <c r="X640" s="271">
        <f t="shared" ca="1" si="112"/>
        <v>0</v>
      </c>
      <c r="Y640" s="271"/>
      <c r="Z640" s="271"/>
      <c r="AB640" s="273" t="str">
        <f t="shared" si="113"/>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111"/>
        <v/>
      </c>
      <c r="T641" s="222" t="str">
        <f ca="1">IF(B641="","",IF(ISERROR(MATCH($J641,SorP!$B$1:$B$6230,0)),"",INDIRECT("'SorP'!$A$"&amp;MATCH($J641,SorP!$B$1:$B$6230,0))))</f>
        <v/>
      </c>
      <c r="U641" s="238"/>
      <c r="V641" s="270" t="e">
        <f>IF(C641="",NA(),MATCH($B641&amp;$C641,'Smelter Look-up'!$J:$J,0))</f>
        <v>#N/A</v>
      </c>
      <c r="W641" s="271"/>
      <c r="X641" s="271">
        <f t="shared" ca="1" si="112"/>
        <v>0</v>
      </c>
      <c r="Y641" s="271"/>
      <c r="Z641" s="271"/>
      <c r="AB641" s="273" t="str">
        <f t="shared" si="113"/>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111"/>
        <v/>
      </c>
      <c r="T642" s="222" t="str">
        <f ca="1">IF(B642="","",IF(ISERROR(MATCH($J642,SorP!$B$1:$B$6230,0)),"",INDIRECT("'SorP'!$A$"&amp;MATCH($J642,SorP!$B$1:$B$6230,0))))</f>
        <v/>
      </c>
      <c r="U642" s="238"/>
      <c r="V642" s="270" t="e">
        <f>IF(C642="",NA(),MATCH($B642&amp;$C642,'Smelter Look-up'!$J:$J,0))</f>
        <v>#N/A</v>
      </c>
      <c r="W642" s="271"/>
      <c r="X642" s="271">
        <f t="shared" ca="1" si="112"/>
        <v>0</v>
      </c>
      <c r="Y642" s="271"/>
      <c r="Z642" s="271"/>
      <c r="AB642" s="273" t="str">
        <f t="shared" si="113"/>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111"/>
        <v/>
      </c>
      <c r="T643" s="222" t="str">
        <f ca="1">IF(B643="","",IF(ISERROR(MATCH($J643,SorP!$B$1:$B$6230,0)),"",INDIRECT("'SorP'!$A$"&amp;MATCH($J643,SorP!$B$1:$B$6230,0))))</f>
        <v/>
      </c>
      <c r="U643" s="238"/>
      <c r="V643" s="270" t="e">
        <f>IF(C643="",NA(),MATCH($B643&amp;$C643,'Smelter Look-up'!$J:$J,0))</f>
        <v>#N/A</v>
      </c>
      <c r="W643" s="271"/>
      <c r="X643" s="271">
        <f t="shared" ca="1" si="112"/>
        <v>0</v>
      </c>
      <c r="Y643" s="271"/>
      <c r="Z643" s="271"/>
      <c r="AB643" s="273" t="str">
        <f t="shared" si="113"/>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111"/>
        <v/>
      </c>
      <c r="T644" s="222" t="str">
        <f ca="1">IF(B644="","",IF(ISERROR(MATCH($J644,SorP!$B$1:$B$6230,0)),"",INDIRECT("'SorP'!$A$"&amp;MATCH($J644,SorP!$B$1:$B$6230,0))))</f>
        <v/>
      </c>
      <c r="U644" s="238"/>
      <c r="V644" s="270" t="e">
        <f>IF(C644="",NA(),MATCH($B644&amp;$C644,'Smelter Look-up'!$J:$J,0))</f>
        <v>#N/A</v>
      </c>
      <c r="W644" s="271"/>
      <c r="X644" s="271">
        <f t="shared" ca="1" si="112"/>
        <v>0</v>
      </c>
      <c r="Y644" s="271"/>
      <c r="Z644" s="271"/>
      <c r="AB644" s="273" t="str">
        <f t="shared" si="113"/>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111"/>
        <v/>
      </c>
      <c r="T645" s="222" t="str">
        <f ca="1">IF(B645="","",IF(ISERROR(MATCH($J645,SorP!$B$1:$B$6230,0)),"",INDIRECT("'SorP'!$A$"&amp;MATCH($J645,SorP!$B$1:$B$6230,0))))</f>
        <v/>
      </c>
      <c r="U645" s="238"/>
      <c r="V645" s="270" t="e">
        <f>IF(C645="",NA(),MATCH($B645&amp;$C645,'Smelter Look-up'!$J:$J,0))</f>
        <v>#N/A</v>
      </c>
      <c r="W645" s="271"/>
      <c r="X645" s="271">
        <f t="shared" ca="1" si="112"/>
        <v>0</v>
      </c>
      <c r="Y645" s="271"/>
      <c r="Z645" s="271"/>
      <c r="AB645" s="273" t="str">
        <f t="shared" si="113"/>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111"/>
        <v/>
      </c>
      <c r="T646" s="222" t="str">
        <f ca="1">IF(B646="","",IF(ISERROR(MATCH($J646,SorP!$B$1:$B$6230,0)),"",INDIRECT("'SorP'!$A$"&amp;MATCH($J646,SorP!$B$1:$B$6230,0))))</f>
        <v/>
      </c>
      <c r="U646" s="238"/>
      <c r="V646" s="270" t="e">
        <f>IF(C646="",NA(),MATCH($B646&amp;$C646,'Smelter Look-up'!$J:$J,0))</f>
        <v>#N/A</v>
      </c>
      <c r="W646" s="271"/>
      <c r="X646" s="271">
        <f t="shared" ca="1" si="112"/>
        <v>0</v>
      </c>
      <c r="Y646" s="271"/>
      <c r="Z646" s="271"/>
      <c r="AB646" s="273" t="str">
        <f t="shared" si="113"/>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111"/>
        <v/>
      </c>
      <c r="T647" s="222" t="str">
        <f ca="1">IF(B647="","",IF(ISERROR(MATCH($J647,SorP!$B$1:$B$6230,0)),"",INDIRECT("'SorP'!$A$"&amp;MATCH($J647,SorP!$B$1:$B$6230,0))))</f>
        <v/>
      </c>
      <c r="U647" s="238"/>
      <c r="V647" s="270" t="e">
        <f>IF(C647="",NA(),MATCH($B647&amp;$C647,'Smelter Look-up'!$J:$J,0))</f>
        <v>#N/A</v>
      </c>
      <c r="W647" s="271"/>
      <c r="X647" s="271">
        <f t="shared" ca="1" si="112"/>
        <v>0</v>
      </c>
      <c r="Y647" s="271"/>
      <c r="Z647" s="271"/>
      <c r="AB647" s="273" t="str">
        <f t="shared" si="113"/>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111"/>
        <v/>
      </c>
      <c r="T648" s="222" t="str">
        <f ca="1">IF(B648="","",IF(ISERROR(MATCH($J648,SorP!$B$1:$B$6230,0)),"",INDIRECT("'SorP'!$A$"&amp;MATCH($J648,SorP!$B$1:$B$6230,0))))</f>
        <v/>
      </c>
      <c r="U648" s="238"/>
      <c r="V648" s="270" t="e">
        <f>IF(C648="",NA(),MATCH($B648&amp;$C648,'Smelter Look-up'!$J:$J,0))</f>
        <v>#N/A</v>
      </c>
      <c r="W648" s="271"/>
      <c r="X648" s="271">
        <f t="shared" ca="1" si="112"/>
        <v>0</v>
      </c>
      <c r="Y648" s="271"/>
      <c r="Z648" s="271"/>
      <c r="AB648" s="273" t="str">
        <f t="shared" si="113"/>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111"/>
        <v/>
      </c>
      <c r="T649" s="222" t="str">
        <f ca="1">IF(B649="","",IF(ISERROR(MATCH($J649,SorP!$B$1:$B$6230,0)),"",INDIRECT("'SorP'!$A$"&amp;MATCH($J649,SorP!$B$1:$B$6230,0))))</f>
        <v/>
      </c>
      <c r="U649" s="238"/>
      <c r="V649" s="270" t="e">
        <f>IF(C649="",NA(),MATCH($B649&amp;$C649,'Smelter Look-up'!$J:$J,0))</f>
        <v>#N/A</v>
      </c>
      <c r="W649" s="271"/>
      <c r="X649" s="271">
        <f t="shared" ca="1" si="112"/>
        <v>0</v>
      </c>
      <c r="Y649" s="271"/>
      <c r="Z649" s="271"/>
      <c r="AB649" s="273" t="str">
        <f t="shared" si="113"/>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111"/>
        <v/>
      </c>
      <c r="T650" s="222" t="str">
        <f ca="1">IF(B650="","",IF(ISERROR(MATCH($J650,SorP!$B$1:$B$6230,0)),"",INDIRECT("'SorP'!$A$"&amp;MATCH($J650,SorP!$B$1:$B$6230,0))))</f>
        <v/>
      </c>
      <c r="U650" s="238"/>
      <c r="V650" s="270" t="e">
        <f>IF(C650="",NA(),MATCH($B650&amp;$C650,'Smelter Look-up'!$J:$J,0))</f>
        <v>#N/A</v>
      </c>
      <c r="W650" s="271"/>
      <c r="X650" s="271">
        <f t="shared" ca="1" si="112"/>
        <v>0</v>
      </c>
      <c r="Y650" s="271"/>
      <c r="Z650" s="271"/>
      <c r="AB650" s="273" t="str">
        <f t="shared" si="113"/>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111"/>
        <v/>
      </c>
      <c r="T651" s="222" t="str">
        <f ca="1">IF(B651="","",IF(ISERROR(MATCH($J651,SorP!$B$1:$B$6230,0)),"",INDIRECT("'SorP'!$A$"&amp;MATCH($J651,SorP!$B$1:$B$6230,0))))</f>
        <v/>
      </c>
      <c r="U651" s="238"/>
      <c r="V651" s="270" t="e">
        <f>IF(C651="",NA(),MATCH($B651&amp;$C651,'Smelter Look-up'!$J:$J,0))</f>
        <v>#N/A</v>
      </c>
      <c r="W651" s="271"/>
      <c r="X651" s="271">
        <f t="shared" ca="1" si="112"/>
        <v>0</v>
      </c>
      <c r="Y651" s="271"/>
      <c r="Z651" s="271"/>
      <c r="AB651" s="273" t="str">
        <f t="shared" si="113"/>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111"/>
        <v/>
      </c>
      <c r="T652" s="222" t="str">
        <f ca="1">IF(B652="","",IF(ISERROR(MATCH($J652,SorP!$B$1:$B$6230,0)),"",INDIRECT("'SorP'!$A$"&amp;MATCH($J652,SorP!$B$1:$B$6230,0))))</f>
        <v/>
      </c>
      <c r="U652" s="238"/>
      <c r="V652" s="270" t="e">
        <f>IF(C652="",NA(),MATCH($B652&amp;$C652,'Smelter Look-up'!$J:$J,0))</f>
        <v>#N/A</v>
      </c>
      <c r="W652" s="271"/>
      <c r="X652" s="271">
        <f t="shared" ca="1" si="112"/>
        <v>0</v>
      </c>
      <c r="Y652" s="271"/>
      <c r="Z652" s="271"/>
      <c r="AB652" s="273" t="str">
        <f t="shared" si="113"/>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111"/>
        <v/>
      </c>
      <c r="T653" s="222" t="str">
        <f ca="1">IF(B653="","",IF(ISERROR(MATCH($J653,SorP!$B$1:$B$6230,0)),"",INDIRECT("'SorP'!$A$"&amp;MATCH($J653,SorP!$B$1:$B$6230,0))))</f>
        <v/>
      </c>
      <c r="U653" s="238"/>
      <c r="V653" s="270" t="e">
        <f>IF(C653="",NA(),MATCH($B653&amp;$C653,'Smelter Look-up'!$J:$J,0))</f>
        <v>#N/A</v>
      </c>
      <c r="W653" s="271"/>
      <c r="X653" s="271">
        <f t="shared" ca="1" si="112"/>
        <v>0</v>
      </c>
      <c r="Y653" s="271"/>
      <c r="Z653" s="271"/>
      <c r="AB653" s="273" t="str">
        <f t="shared" si="113"/>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111"/>
        <v/>
      </c>
      <c r="T654" s="222" t="str">
        <f ca="1">IF(B654="","",IF(ISERROR(MATCH($J654,SorP!$B$1:$B$6230,0)),"",INDIRECT("'SorP'!$A$"&amp;MATCH($J654,SorP!$B$1:$B$6230,0))))</f>
        <v/>
      </c>
      <c r="U654" s="238"/>
      <c r="V654" s="270" t="e">
        <f>IF(C654="",NA(),MATCH($B654&amp;$C654,'Smelter Look-up'!$J:$J,0))</f>
        <v>#N/A</v>
      </c>
      <c r="W654" s="271"/>
      <c r="X654" s="271">
        <f t="shared" ca="1" si="112"/>
        <v>0</v>
      </c>
      <c r="Y654" s="271"/>
      <c r="Z654" s="271"/>
      <c r="AB654" s="273" t="str">
        <f t="shared" si="113"/>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111"/>
        <v/>
      </c>
      <c r="T655" s="222" t="str">
        <f ca="1">IF(B655="","",IF(ISERROR(MATCH($J655,SorP!$B$1:$B$6230,0)),"",INDIRECT("'SorP'!$A$"&amp;MATCH($J655,SorP!$B$1:$B$6230,0))))</f>
        <v/>
      </c>
      <c r="U655" s="238"/>
      <c r="V655" s="270" t="e">
        <f>IF(C655="",NA(),MATCH($B655&amp;$C655,'Smelter Look-up'!$J:$J,0))</f>
        <v>#N/A</v>
      </c>
      <c r="W655" s="271"/>
      <c r="X655" s="271">
        <f t="shared" ca="1" si="112"/>
        <v>0</v>
      </c>
      <c r="Y655" s="271"/>
      <c r="Z655" s="271"/>
      <c r="AB655" s="273" t="str">
        <f t="shared" si="113"/>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111"/>
        <v/>
      </c>
      <c r="T656" s="222" t="str">
        <f ca="1">IF(B656="","",IF(ISERROR(MATCH($J656,SorP!$B$1:$B$6230,0)),"",INDIRECT("'SorP'!$A$"&amp;MATCH($J656,SorP!$B$1:$B$6230,0))))</f>
        <v/>
      </c>
      <c r="U656" s="238"/>
      <c r="V656" s="270" t="e">
        <f>IF(C656="",NA(),MATCH($B656&amp;$C656,'Smelter Look-up'!$J:$J,0))</f>
        <v>#N/A</v>
      </c>
      <c r="W656" s="271"/>
      <c r="X656" s="271">
        <f t="shared" ca="1" si="112"/>
        <v>0</v>
      </c>
      <c r="Y656" s="271"/>
      <c r="Z656" s="271"/>
      <c r="AB656" s="273" t="str">
        <f t="shared" si="113"/>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111"/>
        <v/>
      </c>
      <c r="T657" s="222" t="str">
        <f ca="1">IF(B657="","",IF(ISERROR(MATCH($J657,SorP!$B$1:$B$6230,0)),"",INDIRECT("'SorP'!$A$"&amp;MATCH($J657,SorP!$B$1:$B$6230,0))))</f>
        <v/>
      </c>
      <c r="U657" s="238"/>
      <c r="V657" s="270" t="e">
        <f>IF(C657="",NA(),MATCH($B657&amp;$C657,'Smelter Look-up'!$J:$J,0))</f>
        <v>#N/A</v>
      </c>
      <c r="W657" s="271"/>
      <c r="X657" s="271">
        <f t="shared" ca="1" si="112"/>
        <v>0</v>
      </c>
      <c r="Y657" s="271"/>
      <c r="Z657" s="271"/>
      <c r="AB657" s="273" t="str">
        <f t="shared" si="113"/>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111"/>
        <v/>
      </c>
      <c r="T658" s="222" t="str">
        <f ca="1">IF(B658="","",IF(ISERROR(MATCH($J658,SorP!$B$1:$B$6230,0)),"",INDIRECT("'SorP'!$A$"&amp;MATCH($J658,SorP!$B$1:$B$6230,0))))</f>
        <v/>
      </c>
      <c r="U658" s="238"/>
      <c r="V658" s="270" t="e">
        <f>IF(C658="",NA(),MATCH($B658&amp;$C658,'Smelter Look-up'!$J:$J,0))</f>
        <v>#N/A</v>
      </c>
      <c r="W658" s="271"/>
      <c r="X658" s="271">
        <f t="shared" ca="1" si="112"/>
        <v>0</v>
      </c>
      <c r="Y658" s="271"/>
      <c r="Z658" s="271"/>
      <c r="AB658" s="273" t="str">
        <f t="shared" si="113"/>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111"/>
        <v/>
      </c>
      <c r="T659" s="222" t="str">
        <f ca="1">IF(B659="","",IF(ISERROR(MATCH($J659,SorP!$B$1:$B$6230,0)),"",INDIRECT("'SorP'!$A$"&amp;MATCH($J659,SorP!$B$1:$B$6230,0))))</f>
        <v/>
      </c>
      <c r="U659" s="238"/>
      <c r="V659" s="270" t="e">
        <f>IF(C659="",NA(),MATCH($B659&amp;$C659,'Smelter Look-up'!$J:$J,0))</f>
        <v>#N/A</v>
      </c>
      <c r="W659" s="271"/>
      <c r="X659" s="271">
        <f t="shared" ca="1" si="112"/>
        <v>0</v>
      </c>
      <c r="Y659" s="271"/>
      <c r="Z659" s="271"/>
      <c r="AB659" s="273" t="str">
        <f t="shared" si="113"/>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111"/>
        <v/>
      </c>
      <c r="T660" s="222" t="str">
        <f ca="1">IF(B660="","",IF(ISERROR(MATCH($J660,SorP!$B$1:$B$6230,0)),"",INDIRECT("'SorP'!$A$"&amp;MATCH($J660,SorP!$B$1:$B$6230,0))))</f>
        <v/>
      </c>
      <c r="U660" s="238"/>
      <c r="V660" s="270" t="e">
        <f>IF(C660="",NA(),MATCH($B660&amp;$C660,'Smelter Look-up'!$J:$J,0))</f>
        <v>#N/A</v>
      </c>
      <c r="W660" s="271"/>
      <c r="X660" s="271">
        <f t="shared" ca="1" si="112"/>
        <v>0</v>
      </c>
      <c r="Y660" s="271"/>
      <c r="Z660" s="271"/>
      <c r="AB660" s="273" t="str">
        <f t="shared" si="113"/>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111"/>
        <v/>
      </c>
      <c r="T661" s="222" t="str">
        <f ca="1">IF(B661="","",IF(ISERROR(MATCH($J661,SorP!$B$1:$B$6230,0)),"",INDIRECT("'SorP'!$A$"&amp;MATCH($J661,SorP!$B$1:$B$6230,0))))</f>
        <v/>
      </c>
      <c r="U661" s="238"/>
      <c r="V661" s="270" t="e">
        <f>IF(C661="",NA(),MATCH($B661&amp;$C661,'Smelter Look-up'!$J:$J,0))</f>
        <v>#N/A</v>
      </c>
      <c r="W661" s="271"/>
      <c r="X661" s="271">
        <f t="shared" ca="1" si="112"/>
        <v>0</v>
      </c>
      <c r="Y661" s="271"/>
      <c r="Z661" s="271"/>
      <c r="AB661" s="273" t="str">
        <f t="shared" si="113"/>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111"/>
        <v/>
      </c>
      <c r="T662" s="222" t="str">
        <f ca="1">IF(B662="","",IF(ISERROR(MATCH($J662,SorP!$B$1:$B$6230,0)),"",INDIRECT("'SorP'!$A$"&amp;MATCH($J662,SorP!$B$1:$B$6230,0))))</f>
        <v/>
      </c>
      <c r="U662" s="238"/>
      <c r="V662" s="270" t="e">
        <f>IF(C662="",NA(),MATCH($B662&amp;$C662,'Smelter Look-up'!$J:$J,0))</f>
        <v>#N/A</v>
      </c>
      <c r="W662" s="271"/>
      <c r="X662" s="271">
        <f t="shared" ca="1" si="112"/>
        <v>0</v>
      </c>
      <c r="Y662" s="271"/>
      <c r="Z662" s="271"/>
      <c r="AB662" s="273" t="str">
        <f t="shared" si="113"/>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111"/>
        <v/>
      </c>
      <c r="T663" s="222" t="str">
        <f ca="1">IF(B663="","",IF(ISERROR(MATCH($J663,SorP!$B$1:$B$6230,0)),"",INDIRECT("'SorP'!$A$"&amp;MATCH($J663,SorP!$B$1:$B$6230,0))))</f>
        <v/>
      </c>
      <c r="U663" s="238"/>
      <c r="V663" s="270" t="e">
        <f>IF(C663="",NA(),MATCH($B663&amp;$C663,'Smelter Look-up'!$J:$J,0))</f>
        <v>#N/A</v>
      </c>
      <c r="W663" s="271"/>
      <c r="X663" s="271">
        <f t="shared" ca="1" si="112"/>
        <v>0</v>
      </c>
      <c r="Y663" s="271"/>
      <c r="Z663" s="271"/>
      <c r="AB663" s="273" t="str">
        <f t="shared" si="113"/>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ref="S664" ca="1" si="114">IF(B664="","",IF(ISERROR(MATCH($E664,CL,0)),"Unknown",INDIRECT("'C'!$A$"&amp;MATCH($E664,CL,0)+1)))</f>
        <v/>
      </c>
      <c r="T664" s="222" t="str">
        <f ca="1">IF(B664="","",IF(ISERROR(MATCH($J664,SorP!$B$1:$B$6230,0)),"",INDIRECT("'SorP'!$A$"&amp;MATCH($J664,SorP!$B$1:$B$6230,0))))</f>
        <v/>
      </c>
      <c r="U664" s="238"/>
      <c r="V664" s="270" t="e">
        <f>IF(C664="",NA(),MATCH($B664&amp;$C664,'Smelter Look-up'!$J:$J,0))</f>
        <v>#N/A</v>
      </c>
      <c r="W664" s="271"/>
      <c r="X664" s="271">
        <f t="shared" ref="X664" ca="1" si="115">IF(AND(C664="Smelter not listed",OR(LEN(D664)=0,LEN(E664)=0)),1,0)</f>
        <v>0</v>
      </c>
      <c r="Y664" s="271"/>
      <c r="Z664" s="271"/>
      <c r="AB664" s="273" t="str">
        <f t="shared" ref="AB664" si="116">B664&amp;C664</f>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ref="S665:S696" ca="1" si="117">IF(B665="","",IF(ISERROR(MATCH($E665,CL,0)),"Unknown",INDIRECT("'C'!$A$"&amp;MATCH($E665,CL,0)+1)))</f>
        <v/>
      </c>
      <c r="T665" s="222" t="str">
        <f ca="1">IF(B665="","",IF(ISERROR(MATCH($J665,SorP!$B$1:$B$6230,0)),"",INDIRECT("'SorP'!$A$"&amp;MATCH($J665,SorP!$B$1:$B$6230,0))))</f>
        <v/>
      </c>
      <c r="U665" s="238"/>
      <c r="V665" s="270" t="e">
        <f>IF(C665="",NA(),MATCH($B665&amp;$C665,'Smelter Look-up'!$J:$J,0))</f>
        <v>#N/A</v>
      </c>
      <c r="W665" s="271"/>
      <c r="X665" s="271">
        <f t="shared" ref="X665:X696" ca="1" si="118">IF(AND(C665="Smelter not listed",OR(LEN(D665)=0,LEN(E665)=0)),1,0)</f>
        <v>0</v>
      </c>
      <c r="Y665" s="271"/>
      <c r="Z665" s="271"/>
      <c r="AB665" s="273" t="str">
        <f t="shared" ref="AB665:AB696" si="119">B665&amp;C665</f>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117"/>
        <v/>
      </c>
      <c r="T666" s="222" t="str">
        <f ca="1">IF(B666="","",IF(ISERROR(MATCH($J666,SorP!$B$1:$B$6230,0)),"",INDIRECT("'SorP'!$A$"&amp;MATCH($J666,SorP!$B$1:$B$6230,0))))</f>
        <v/>
      </c>
      <c r="U666" s="238"/>
      <c r="V666" s="270" t="e">
        <f>IF(C666="",NA(),MATCH($B666&amp;$C666,'Smelter Look-up'!$J:$J,0))</f>
        <v>#N/A</v>
      </c>
      <c r="W666" s="271"/>
      <c r="X666" s="271">
        <f t="shared" ca="1" si="118"/>
        <v>0</v>
      </c>
      <c r="Y666" s="271"/>
      <c r="Z666" s="271"/>
      <c r="AB666" s="273" t="str">
        <f t="shared" si="119"/>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117"/>
        <v/>
      </c>
      <c r="T667" s="222" t="str">
        <f ca="1">IF(B667="","",IF(ISERROR(MATCH($J667,SorP!$B$1:$B$6230,0)),"",INDIRECT("'SorP'!$A$"&amp;MATCH($J667,SorP!$B$1:$B$6230,0))))</f>
        <v/>
      </c>
      <c r="U667" s="238"/>
      <c r="V667" s="270" t="e">
        <f>IF(C667="",NA(),MATCH($B667&amp;$C667,'Smelter Look-up'!$J:$J,0))</f>
        <v>#N/A</v>
      </c>
      <c r="W667" s="271"/>
      <c r="X667" s="271">
        <f t="shared" ca="1" si="118"/>
        <v>0</v>
      </c>
      <c r="Y667" s="271"/>
      <c r="Z667" s="271"/>
      <c r="AB667" s="273" t="str">
        <f t="shared" si="119"/>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ca="1" si="117"/>
        <v/>
      </c>
      <c r="T668" s="222" t="str">
        <f ca="1">IF(B668="","",IF(ISERROR(MATCH($J668,SorP!$B$1:$B$6230,0)),"",INDIRECT("'SorP'!$A$"&amp;MATCH($J668,SorP!$B$1:$B$6230,0))))</f>
        <v/>
      </c>
      <c r="U668" s="238"/>
      <c r="V668" s="270" t="e">
        <f>IF(C668="",NA(),MATCH($B668&amp;$C668,'Smelter Look-up'!$J:$J,0))</f>
        <v>#N/A</v>
      </c>
      <c r="W668" s="271"/>
      <c r="X668" s="271">
        <f t="shared" ca="1" si="118"/>
        <v>0</v>
      </c>
      <c r="Y668" s="271"/>
      <c r="Z668" s="271"/>
      <c r="AB668" s="273" t="str">
        <f t="shared" si="119"/>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117"/>
        <v/>
      </c>
      <c r="T669" s="222" t="str">
        <f ca="1">IF(B669="","",IF(ISERROR(MATCH($J669,SorP!$B$1:$B$6230,0)),"",INDIRECT("'SorP'!$A$"&amp;MATCH($J669,SorP!$B$1:$B$6230,0))))</f>
        <v/>
      </c>
      <c r="U669" s="238"/>
      <c r="V669" s="270" t="e">
        <f>IF(C669="",NA(),MATCH($B669&amp;$C669,'Smelter Look-up'!$J:$J,0))</f>
        <v>#N/A</v>
      </c>
      <c r="W669" s="271"/>
      <c r="X669" s="271">
        <f t="shared" ca="1" si="118"/>
        <v>0</v>
      </c>
      <c r="Y669" s="271"/>
      <c r="Z669" s="271"/>
      <c r="AB669" s="273" t="str">
        <f t="shared" si="119"/>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117"/>
        <v/>
      </c>
      <c r="T670" s="222" t="str">
        <f ca="1">IF(B670="","",IF(ISERROR(MATCH($J670,SorP!$B$1:$B$6230,0)),"",INDIRECT("'SorP'!$A$"&amp;MATCH($J670,SorP!$B$1:$B$6230,0))))</f>
        <v/>
      </c>
      <c r="U670" s="238"/>
      <c r="V670" s="270" t="e">
        <f>IF(C670="",NA(),MATCH($B670&amp;$C670,'Smelter Look-up'!$J:$J,0))</f>
        <v>#N/A</v>
      </c>
      <c r="W670" s="271"/>
      <c r="X670" s="271">
        <f t="shared" ca="1" si="118"/>
        <v>0</v>
      </c>
      <c r="Y670" s="271"/>
      <c r="Z670" s="271"/>
      <c r="AB670" s="273" t="str">
        <f t="shared" si="119"/>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117"/>
        <v/>
      </c>
      <c r="T671" s="222" t="str">
        <f ca="1">IF(B671="","",IF(ISERROR(MATCH($J671,SorP!$B$1:$B$6230,0)),"",INDIRECT("'SorP'!$A$"&amp;MATCH($J671,SorP!$B$1:$B$6230,0))))</f>
        <v/>
      </c>
      <c r="U671" s="238"/>
      <c r="V671" s="270" t="e">
        <f>IF(C671="",NA(),MATCH($B671&amp;$C671,'Smelter Look-up'!$J:$J,0))</f>
        <v>#N/A</v>
      </c>
      <c r="W671" s="271"/>
      <c r="X671" s="271">
        <f t="shared" ca="1" si="118"/>
        <v>0</v>
      </c>
      <c r="Y671" s="271"/>
      <c r="Z671" s="271"/>
      <c r="AB671" s="273" t="str">
        <f t="shared" si="119"/>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117"/>
        <v/>
      </c>
      <c r="T672" s="222" t="str">
        <f ca="1">IF(B672="","",IF(ISERROR(MATCH($J672,SorP!$B$1:$B$6230,0)),"",INDIRECT("'SorP'!$A$"&amp;MATCH($J672,SorP!$B$1:$B$6230,0))))</f>
        <v/>
      </c>
      <c r="U672" s="238"/>
      <c r="V672" s="270" t="e">
        <f>IF(C672="",NA(),MATCH($B672&amp;$C672,'Smelter Look-up'!$J:$J,0))</f>
        <v>#N/A</v>
      </c>
      <c r="W672" s="271"/>
      <c r="X672" s="271">
        <f t="shared" ca="1" si="118"/>
        <v>0</v>
      </c>
      <c r="Y672" s="271"/>
      <c r="Z672" s="271"/>
      <c r="AB672" s="273" t="str">
        <f t="shared" si="119"/>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117"/>
        <v/>
      </c>
      <c r="T673" s="222" t="str">
        <f ca="1">IF(B673="","",IF(ISERROR(MATCH($J673,SorP!$B$1:$B$6230,0)),"",INDIRECT("'SorP'!$A$"&amp;MATCH($J673,SorP!$B$1:$B$6230,0))))</f>
        <v/>
      </c>
      <c r="U673" s="238"/>
      <c r="V673" s="270" t="e">
        <f>IF(C673="",NA(),MATCH($B673&amp;$C673,'Smelter Look-up'!$J:$J,0))</f>
        <v>#N/A</v>
      </c>
      <c r="W673" s="271"/>
      <c r="X673" s="271">
        <f t="shared" ca="1" si="118"/>
        <v>0</v>
      </c>
      <c r="Y673" s="271"/>
      <c r="Z673" s="271"/>
      <c r="AB673" s="273" t="str">
        <f t="shared" si="119"/>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117"/>
        <v/>
      </c>
      <c r="T674" s="222" t="str">
        <f ca="1">IF(B674="","",IF(ISERROR(MATCH($J674,SorP!$B$1:$B$6230,0)),"",INDIRECT("'SorP'!$A$"&amp;MATCH($J674,SorP!$B$1:$B$6230,0))))</f>
        <v/>
      </c>
      <c r="U674" s="238"/>
      <c r="V674" s="270" t="e">
        <f>IF(C674="",NA(),MATCH($B674&amp;$C674,'Smelter Look-up'!$J:$J,0))</f>
        <v>#N/A</v>
      </c>
      <c r="W674" s="271"/>
      <c r="X674" s="271">
        <f t="shared" ca="1" si="118"/>
        <v>0</v>
      </c>
      <c r="Y674" s="271"/>
      <c r="Z674" s="271"/>
      <c r="AB674" s="273" t="str">
        <f t="shared" si="119"/>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117"/>
        <v/>
      </c>
      <c r="T675" s="222" t="str">
        <f ca="1">IF(B675="","",IF(ISERROR(MATCH($J675,SorP!$B$1:$B$6230,0)),"",INDIRECT("'SorP'!$A$"&amp;MATCH($J675,SorP!$B$1:$B$6230,0))))</f>
        <v/>
      </c>
      <c r="U675" s="238"/>
      <c r="V675" s="270" t="e">
        <f>IF(C675="",NA(),MATCH($B675&amp;$C675,'Smelter Look-up'!$J:$J,0))</f>
        <v>#N/A</v>
      </c>
      <c r="W675" s="271"/>
      <c r="X675" s="271">
        <f t="shared" ca="1" si="118"/>
        <v>0</v>
      </c>
      <c r="Y675" s="271"/>
      <c r="Z675" s="271"/>
      <c r="AB675" s="273" t="str">
        <f t="shared" si="119"/>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117"/>
        <v/>
      </c>
      <c r="T676" s="222" t="str">
        <f ca="1">IF(B676="","",IF(ISERROR(MATCH($J676,SorP!$B$1:$B$6230,0)),"",INDIRECT("'SorP'!$A$"&amp;MATCH($J676,SorP!$B$1:$B$6230,0))))</f>
        <v/>
      </c>
      <c r="U676" s="238"/>
      <c r="V676" s="270" t="e">
        <f>IF(C676="",NA(),MATCH($B676&amp;$C676,'Smelter Look-up'!$J:$J,0))</f>
        <v>#N/A</v>
      </c>
      <c r="W676" s="271"/>
      <c r="X676" s="271">
        <f t="shared" ca="1" si="118"/>
        <v>0</v>
      </c>
      <c r="Y676" s="271"/>
      <c r="Z676" s="271"/>
      <c r="AB676" s="273" t="str">
        <f t="shared" si="119"/>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117"/>
        <v/>
      </c>
      <c r="T677" s="222" t="str">
        <f ca="1">IF(B677="","",IF(ISERROR(MATCH($J677,SorP!$B$1:$B$6230,0)),"",INDIRECT("'SorP'!$A$"&amp;MATCH($J677,SorP!$B$1:$B$6230,0))))</f>
        <v/>
      </c>
      <c r="U677" s="238"/>
      <c r="V677" s="270" t="e">
        <f>IF(C677="",NA(),MATCH($B677&amp;$C677,'Smelter Look-up'!$J:$J,0))</f>
        <v>#N/A</v>
      </c>
      <c r="W677" s="271"/>
      <c r="X677" s="271">
        <f t="shared" ca="1" si="118"/>
        <v>0</v>
      </c>
      <c r="Y677" s="271"/>
      <c r="Z677" s="271"/>
      <c r="AB677" s="273" t="str">
        <f t="shared" si="119"/>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117"/>
        <v/>
      </c>
      <c r="T678" s="222" t="str">
        <f ca="1">IF(B678="","",IF(ISERROR(MATCH($J678,SorP!$B$1:$B$6230,0)),"",INDIRECT("'SorP'!$A$"&amp;MATCH($J678,SorP!$B$1:$B$6230,0))))</f>
        <v/>
      </c>
      <c r="U678" s="238"/>
      <c r="V678" s="270" t="e">
        <f>IF(C678="",NA(),MATCH($B678&amp;$C678,'Smelter Look-up'!$J:$J,0))</f>
        <v>#N/A</v>
      </c>
      <c r="W678" s="271"/>
      <c r="X678" s="271">
        <f t="shared" ca="1" si="118"/>
        <v>0</v>
      </c>
      <c r="Y678" s="271"/>
      <c r="Z678" s="271"/>
      <c r="AB678" s="273" t="str">
        <f t="shared" si="119"/>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117"/>
        <v/>
      </c>
      <c r="T679" s="222" t="str">
        <f ca="1">IF(B679="","",IF(ISERROR(MATCH($J679,SorP!$B$1:$B$6230,0)),"",INDIRECT("'SorP'!$A$"&amp;MATCH($J679,SorP!$B$1:$B$6230,0))))</f>
        <v/>
      </c>
      <c r="U679" s="238"/>
      <c r="V679" s="270" t="e">
        <f>IF(C679="",NA(),MATCH($B679&amp;$C679,'Smelter Look-up'!$J:$J,0))</f>
        <v>#N/A</v>
      </c>
      <c r="W679" s="271"/>
      <c r="X679" s="271">
        <f t="shared" ca="1" si="118"/>
        <v>0</v>
      </c>
      <c r="Y679" s="271"/>
      <c r="Z679" s="271"/>
      <c r="AB679" s="273" t="str">
        <f t="shared" si="119"/>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117"/>
        <v/>
      </c>
      <c r="T680" s="222" t="str">
        <f ca="1">IF(B680="","",IF(ISERROR(MATCH($J680,SorP!$B$1:$B$6230,0)),"",INDIRECT("'SorP'!$A$"&amp;MATCH($J680,SorP!$B$1:$B$6230,0))))</f>
        <v/>
      </c>
      <c r="U680" s="238"/>
      <c r="V680" s="270" t="e">
        <f>IF(C680="",NA(),MATCH($B680&amp;$C680,'Smelter Look-up'!$J:$J,0))</f>
        <v>#N/A</v>
      </c>
      <c r="W680" s="271"/>
      <c r="X680" s="271">
        <f t="shared" ca="1" si="118"/>
        <v>0</v>
      </c>
      <c r="Y680" s="271"/>
      <c r="Z680" s="271"/>
      <c r="AB680" s="273" t="str">
        <f t="shared" si="119"/>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117"/>
        <v/>
      </c>
      <c r="T681" s="222" t="str">
        <f ca="1">IF(B681="","",IF(ISERROR(MATCH($J681,SorP!$B$1:$B$6230,0)),"",INDIRECT("'SorP'!$A$"&amp;MATCH($J681,SorP!$B$1:$B$6230,0))))</f>
        <v/>
      </c>
      <c r="U681" s="238"/>
      <c r="V681" s="270" t="e">
        <f>IF(C681="",NA(),MATCH($B681&amp;$C681,'Smelter Look-up'!$J:$J,0))</f>
        <v>#N/A</v>
      </c>
      <c r="W681" s="271"/>
      <c r="X681" s="271">
        <f t="shared" ca="1" si="118"/>
        <v>0</v>
      </c>
      <c r="Y681" s="271"/>
      <c r="Z681" s="271"/>
      <c r="AB681" s="273" t="str">
        <f t="shared" si="119"/>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117"/>
        <v/>
      </c>
      <c r="T682" s="222" t="str">
        <f ca="1">IF(B682="","",IF(ISERROR(MATCH($J682,SorP!$B$1:$B$6230,0)),"",INDIRECT("'SorP'!$A$"&amp;MATCH($J682,SorP!$B$1:$B$6230,0))))</f>
        <v/>
      </c>
      <c r="U682" s="238"/>
      <c r="V682" s="270" t="e">
        <f>IF(C682="",NA(),MATCH($B682&amp;$C682,'Smelter Look-up'!$J:$J,0))</f>
        <v>#N/A</v>
      </c>
      <c r="W682" s="271"/>
      <c r="X682" s="271">
        <f t="shared" ca="1" si="118"/>
        <v>0</v>
      </c>
      <c r="Y682" s="271"/>
      <c r="Z682" s="271"/>
      <c r="AB682" s="273" t="str">
        <f t="shared" si="119"/>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117"/>
        <v/>
      </c>
      <c r="T683" s="222" t="str">
        <f ca="1">IF(B683="","",IF(ISERROR(MATCH($J683,SorP!$B$1:$B$6230,0)),"",INDIRECT("'SorP'!$A$"&amp;MATCH($J683,SorP!$B$1:$B$6230,0))))</f>
        <v/>
      </c>
      <c r="U683" s="238"/>
      <c r="V683" s="270" t="e">
        <f>IF(C683="",NA(),MATCH($B683&amp;$C683,'Smelter Look-up'!$J:$J,0))</f>
        <v>#N/A</v>
      </c>
      <c r="W683" s="271"/>
      <c r="X683" s="271">
        <f t="shared" ca="1" si="118"/>
        <v>0</v>
      </c>
      <c r="Y683" s="271"/>
      <c r="Z683" s="271"/>
      <c r="AB683" s="273" t="str">
        <f t="shared" si="119"/>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117"/>
        <v/>
      </c>
      <c r="T684" s="222" t="str">
        <f ca="1">IF(B684="","",IF(ISERROR(MATCH($J684,SorP!$B$1:$B$6230,0)),"",INDIRECT("'SorP'!$A$"&amp;MATCH($J684,SorP!$B$1:$B$6230,0))))</f>
        <v/>
      </c>
      <c r="U684" s="238"/>
      <c r="V684" s="270" t="e">
        <f>IF(C684="",NA(),MATCH($B684&amp;$C684,'Smelter Look-up'!$J:$J,0))</f>
        <v>#N/A</v>
      </c>
      <c r="W684" s="271"/>
      <c r="X684" s="271">
        <f t="shared" ca="1" si="118"/>
        <v>0</v>
      </c>
      <c r="Y684" s="271"/>
      <c r="Z684" s="271"/>
      <c r="AB684" s="273" t="str">
        <f t="shared" si="119"/>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117"/>
        <v/>
      </c>
      <c r="T685" s="222" t="str">
        <f ca="1">IF(B685="","",IF(ISERROR(MATCH($J685,SorP!$B$1:$B$6230,0)),"",INDIRECT("'SorP'!$A$"&amp;MATCH($J685,SorP!$B$1:$B$6230,0))))</f>
        <v/>
      </c>
      <c r="U685" s="238"/>
      <c r="V685" s="270" t="e">
        <f>IF(C685="",NA(),MATCH($B685&amp;$C685,'Smelter Look-up'!$J:$J,0))</f>
        <v>#N/A</v>
      </c>
      <c r="W685" s="271"/>
      <c r="X685" s="271">
        <f t="shared" ca="1" si="118"/>
        <v>0</v>
      </c>
      <c r="Y685" s="271"/>
      <c r="Z685" s="271"/>
      <c r="AB685" s="273" t="str">
        <f t="shared" si="119"/>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117"/>
        <v/>
      </c>
      <c r="T686" s="222" t="str">
        <f ca="1">IF(B686="","",IF(ISERROR(MATCH($J686,SorP!$B$1:$B$6230,0)),"",INDIRECT("'SorP'!$A$"&amp;MATCH($J686,SorP!$B$1:$B$6230,0))))</f>
        <v/>
      </c>
      <c r="U686" s="238"/>
      <c r="V686" s="270" t="e">
        <f>IF(C686="",NA(),MATCH($B686&amp;$C686,'Smelter Look-up'!$J:$J,0))</f>
        <v>#N/A</v>
      </c>
      <c r="W686" s="271"/>
      <c r="X686" s="271">
        <f t="shared" ca="1" si="118"/>
        <v>0</v>
      </c>
      <c r="Y686" s="271"/>
      <c r="Z686" s="271"/>
      <c r="AB686" s="273" t="str">
        <f t="shared" si="119"/>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117"/>
        <v/>
      </c>
      <c r="T687" s="222" t="str">
        <f ca="1">IF(B687="","",IF(ISERROR(MATCH($J687,SorP!$B$1:$B$6230,0)),"",INDIRECT("'SorP'!$A$"&amp;MATCH($J687,SorP!$B$1:$B$6230,0))))</f>
        <v/>
      </c>
      <c r="U687" s="238"/>
      <c r="V687" s="270" t="e">
        <f>IF(C687="",NA(),MATCH($B687&amp;$C687,'Smelter Look-up'!$J:$J,0))</f>
        <v>#N/A</v>
      </c>
      <c r="W687" s="271"/>
      <c r="X687" s="271">
        <f t="shared" ca="1" si="118"/>
        <v>0</v>
      </c>
      <c r="Y687" s="271"/>
      <c r="Z687" s="271"/>
      <c r="AB687" s="273" t="str">
        <f t="shared" si="119"/>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117"/>
        <v/>
      </c>
      <c r="T688" s="222" t="str">
        <f ca="1">IF(B688="","",IF(ISERROR(MATCH($J688,SorP!$B$1:$B$6230,0)),"",INDIRECT("'SorP'!$A$"&amp;MATCH($J688,SorP!$B$1:$B$6230,0))))</f>
        <v/>
      </c>
      <c r="U688" s="238"/>
      <c r="V688" s="270" t="e">
        <f>IF(C688="",NA(),MATCH($B688&amp;$C688,'Smelter Look-up'!$J:$J,0))</f>
        <v>#N/A</v>
      </c>
      <c r="W688" s="271"/>
      <c r="X688" s="271">
        <f t="shared" ca="1" si="118"/>
        <v>0</v>
      </c>
      <c r="Y688" s="271"/>
      <c r="Z688" s="271"/>
      <c r="AB688" s="273" t="str">
        <f t="shared" si="119"/>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117"/>
        <v/>
      </c>
      <c r="T689" s="222" t="str">
        <f ca="1">IF(B689="","",IF(ISERROR(MATCH($J689,SorP!$B$1:$B$6230,0)),"",INDIRECT("'SorP'!$A$"&amp;MATCH($J689,SorP!$B$1:$B$6230,0))))</f>
        <v/>
      </c>
      <c r="U689" s="238"/>
      <c r="V689" s="270" t="e">
        <f>IF(C689="",NA(),MATCH($B689&amp;$C689,'Smelter Look-up'!$J:$J,0))</f>
        <v>#N/A</v>
      </c>
      <c r="W689" s="271"/>
      <c r="X689" s="271">
        <f t="shared" ca="1" si="118"/>
        <v>0</v>
      </c>
      <c r="Y689" s="271"/>
      <c r="Z689" s="271"/>
      <c r="AB689" s="273" t="str">
        <f t="shared" si="119"/>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117"/>
        <v/>
      </c>
      <c r="T690" s="222" t="str">
        <f ca="1">IF(B690="","",IF(ISERROR(MATCH($J690,SorP!$B$1:$B$6230,0)),"",INDIRECT("'SorP'!$A$"&amp;MATCH($J690,SorP!$B$1:$B$6230,0))))</f>
        <v/>
      </c>
      <c r="U690" s="238"/>
      <c r="V690" s="270" t="e">
        <f>IF(C690="",NA(),MATCH($B690&amp;$C690,'Smelter Look-up'!$J:$J,0))</f>
        <v>#N/A</v>
      </c>
      <c r="W690" s="271"/>
      <c r="X690" s="271">
        <f t="shared" ca="1" si="118"/>
        <v>0</v>
      </c>
      <c r="Y690" s="271"/>
      <c r="Z690" s="271"/>
      <c r="AB690" s="273" t="str">
        <f t="shared" si="119"/>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117"/>
        <v/>
      </c>
      <c r="T691" s="222" t="str">
        <f ca="1">IF(B691="","",IF(ISERROR(MATCH($J691,SorP!$B$1:$B$6230,0)),"",INDIRECT("'SorP'!$A$"&amp;MATCH($J691,SorP!$B$1:$B$6230,0))))</f>
        <v/>
      </c>
      <c r="U691" s="238"/>
      <c r="V691" s="270" t="e">
        <f>IF(C691="",NA(),MATCH($B691&amp;$C691,'Smelter Look-up'!$J:$J,0))</f>
        <v>#N/A</v>
      </c>
      <c r="W691" s="271"/>
      <c r="X691" s="271">
        <f t="shared" ca="1" si="118"/>
        <v>0</v>
      </c>
      <c r="Y691" s="271"/>
      <c r="Z691" s="271"/>
      <c r="AB691" s="273" t="str">
        <f t="shared" si="119"/>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117"/>
        <v/>
      </c>
      <c r="T692" s="222" t="str">
        <f ca="1">IF(B692="","",IF(ISERROR(MATCH($J692,SorP!$B$1:$B$6230,0)),"",INDIRECT("'SorP'!$A$"&amp;MATCH($J692,SorP!$B$1:$B$6230,0))))</f>
        <v/>
      </c>
      <c r="U692" s="238"/>
      <c r="V692" s="270" t="e">
        <f>IF(C692="",NA(),MATCH($B692&amp;$C692,'Smelter Look-up'!$J:$J,0))</f>
        <v>#N/A</v>
      </c>
      <c r="W692" s="271"/>
      <c r="X692" s="271">
        <f t="shared" ca="1" si="118"/>
        <v>0</v>
      </c>
      <c r="Y692" s="271"/>
      <c r="Z692" s="271"/>
      <c r="AB692" s="273" t="str">
        <f t="shared" si="119"/>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117"/>
        <v/>
      </c>
      <c r="T693" s="222" t="str">
        <f ca="1">IF(B693="","",IF(ISERROR(MATCH($J693,SorP!$B$1:$B$6230,0)),"",INDIRECT("'SorP'!$A$"&amp;MATCH($J693,SorP!$B$1:$B$6230,0))))</f>
        <v/>
      </c>
      <c r="U693" s="238"/>
      <c r="V693" s="270" t="e">
        <f>IF(C693="",NA(),MATCH($B693&amp;$C693,'Smelter Look-up'!$J:$J,0))</f>
        <v>#N/A</v>
      </c>
      <c r="W693" s="271"/>
      <c r="X693" s="271">
        <f t="shared" ca="1" si="118"/>
        <v>0</v>
      </c>
      <c r="Y693" s="271"/>
      <c r="Z693" s="271"/>
      <c r="AB693" s="273" t="str">
        <f t="shared" si="119"/>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117"/>
        <v/>
      </c>
      <c r="T694" s="222" t="str">
        <f ca="1">IF(B694="","",IF(ISERROR(MATCH($J694,SorP!$B$1:$B$6230,0)),"",INDIRECT("'SorP'!$A$"&amp;MATCH($J694,SorP!$B$1:$B$6230,0))))</f>
        <v/>
      </c>
      <c r="U694" s="238"/>
      <c r="V694" s="270" t="e">
        <f>IF(C694="",NA(),MATCH($B694&amp;$C694,'Smelter Look-up'!$J:$J,0))</f>
        <v>#N/A</v>
      </c>
      <c r="W694" s="271"/>
      <c r="X694" s="271">
        <f t="shared" ca="1" si="118"/>
        <v>0</v>
      </c>
      <c r="Y694" s="271"/>
      <c r="Z694" s="271"/>
      <c r="AB694" s="273" t="str">
        <f t="shared" si="119"/>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117"/>
        <v/>
      </c>
      <c r="T695" s="222" t="str">
        <f ca="1">IF(B695="","",IF(ISERROR(MATCH($J695,SorP!$B$1:$B$6230,0)),"",INDIRECT("'SorP'!$A$"&amp;MATCH($J695,SorP!$B$1:$B$6230,0))))</f>
        <v/>
      </c>
      <c r="U695" s="238"/>
      <c r="V695" s="270" t="e">
        <f>IF(C695="",NA(),MATCH($B695&amp;$C695,'Smelter Look-up'!$J:$J,0))</f>
        <v>#N/A</v>
      </c>
      <c r="W695" s="271"/>
      <c r="X695" s="271">
        <f t="shared" ca="1" si="118"/>
        <v>0</v>
      </c>
      <c r="Y695" s="271"/>
      <c r="Z695" s="271"/>
      <c r="AB695" s="273" t="str">
        <f t="shared" si="119"/>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117"/>
        <v/>
      </c>
      <c r="T696" s="222" t="str">
        <f ca="1">IF(B696="","",IF(ISERROR(MATCH($J696,SorP!$B$1:$B$6230,0)),"",INDIRECT("'SorP'!$A$"&amp;MATCH($J696,SorP!$B$1:$B$6230,0))))</f>
        <v/>
      </c>
      <c r="U696" s="238"/>
      <c r="V696" s="270" t="e">
        <f>IF(C696="",NA(),MATCH($B696&amp;$C696,'Smelter Look-up'!$J:$J,0))</f>
        <v>#N/A</v>
      </c>
      <c r="W696" s="271"/>
      <c r="X696" s="271">
        <f t="shared" ca="1" si="118"/>
        <v>0</v>
      </c>
      <c r="Y696" s="271"/>
      <c r="Z696" s="271"/>
      <c r="AB696" s="273" t="str">
        <f t="shared" si="119"/>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ref="S697:S727" ca="1" si="120">IF(B697="","",IF(ISERROR(MATCH($E697,CL,0)),"Unknown",INDIRECT("'C'!$A$"&amp;MATCH($E697,CL,0)+1)))</f>
        <v/>
      </c>
      <c r="T697" s="222" t="str">
        <f ca="1">IF(B697="","",IF(ISERROR(MATCH($J697,SorP!$B$1:$B$6230,0)),"",INDIRECT("'SorP'!$A$"&amp;MATCH($J697,SorP!$B$1:$B$6230,0))))</f>
        <v/>
      </c>
      <c r="U697" s="238"/>
      <c r="V697" s="270" t="e">
        <f>IF(C697="",NA(),MATCH($B697&amp;$C697,'Smelter Look-up'!$J:$J,0))</f>
        <v>#N/A</v>
      </c>
      <c r="W697" s="271"/>
      <c r="X697" s="271">
        <f t="shared" ref="X697:X727" ca="1" si="121">IF(AND(C697="Smelter not listed",OR(LEN(D697)=0,LEN(E697)=0)),1,0)</f>
        <v>0</v>
      </c>
      <c r="Y697" s="271"/>
      <c r="Z697" s="271"/>
      <c r="AB697" s="273" t="str">
        <f t="shared" ref="AB697:AB727" si="122">B697&amp;C697</f>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120"/>
        <v/>
      </c>
      <c r="T698" s="222" t="str">
        <f ca="1">IF(B698="","",IF(ISERROR(MATCH($J698,SorP!$B$1:$B$6230,0)),"",INDIRECT("'SorP'!$A$"&amp;MATCH($J698,SorP!$B$1:$B$6230,0))))</f>
        <v/>
      </c>
      <c r="U698" s="238"/>
      <c r="V698" s="270" t="e">
        <f>IF(C698="",NA(),MATCH($B698&amp;$C698,'Smelter Look-up'!$J:$J,0))</f>
        <v>#N/A</v>
      </c>
      <c r="W698" s="271"/>
      <c r="X698" s="271">
        <f t="shared" ca="1" si="121"/>
        <v>0</v>
      </c>
      <c r="Y698" s="271"/>
      <c r="Z698" s="271"/>
      <c r="AB698" s="273" t="str">
        <f t="shared" si="122"/>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ca="1" si="120"/>
        <v/>
      </c>
      <c r="T699" s="222" t="str">
        <f ca="1">IF(B699="","",IF(ISERROR(MATCH($J699,SorP!$B$1:$B$6230,0)),"",INDIRECT("'SorP'!$A$"&amp;MATCH($J699,SorP!$B$1:$B$6230,0))))</f>
        <v/>
      </c>
      <c r="U699" s="238"/>
      <c r="V699" s="270" t="e">
        <f>IF(C699="",NA(),MATCH($B699&amp;$C699,'Smelter Look-up'!$J:$J,0))</f>
        <v>#N/A</v>
      </c>
      <c r="W699" s="271"/>
      <c r="X699" s="271">
        <f t="shared" ca="1" si="121"/>
        <v>0</v>
      </c>
      <c r="Y699" s="271"/>
      <c r="Z699" s="271"/>
      <c r="AB699" s="273" t="str">
        <f t="shared" si="122"/>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ca="1" si="120"/>
        <v/>
      </c>
      <c r="T700" s="222" t="str">
        <f ca="1">IF(B700="","",IF(ISERROR(MATCH($J700,SorP!$B$1:$B$6230,0)),"",INDIRECT("'SorP'!$A$"&amp;MATCH($J700,SorP!$B$1:$B$6230,0))))</f>
        <v/>
      </c>
      <c r="U700" s="238"/>
      <c r="V700" s="270" t="e">
        <f>IF(C700="",NA(),MATCH($B700&amp;$C700,'Smelter Look-up'!$J:$J,0))</f>
        <v>#N/A</v>
      </c>
      <c r="W700" s="271"/>
      <c r="X700" s="271">
        <f t="shared" ca="1" si="121"/>
        <v>0</v>
      </c>
      <c r="Y700" s="271"/>
      <c r="Z700" s="271"/>
      <c r="AB700" s="273" t="str">
        <f t="shared" si="122"/>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20"/>
        <v/>
      </c>
      <c r="T701" s="222" t="str">
        <f ca="1">IF(B701="","",IF(ISERROR(MATCH($J701,SorP!$B$1:$B$6230,0)),"",INDIRECT("'SorP'!$A$"&amp;MATCH($J701,SorP!$B$1:$B$6230,0))))</f>
        <v/>
      </c>
      <c r="U701" s="238"/>
      <c r="V701" s="270" t="e">
        <f>IF(C701="",NA(),MATCH($B701&amp;$C701,'Smelter Look-up'!$J:$J,0))</f>
        <v>#N/A</v>
      </c>
      <c r="W701" s="271"/>
      <c r="X701" s="271">
        <f t="shared" ca="1" si="121"/>
        <v>0</v>
      </c>
      <c r="Y701" s="271"/>
      <c r="Z701" s="271"/>
      <c r="AB701" s="273" t="str">
        <f t="shared" si="122"/>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20"/>
        <v/>
      </c>
      <c r="T702" s="222" t="str">
        <f ca="1">IF(B702="","",IF(ISERROR(MATCH($J702,SorP!$B$1:$B$6230,0)),"",INDIRECT("'SorP'!$A$"&amp;MATCH($J702,SorP!$B$1:$B$6230,0))))</f>
        <v/>
      </c>
      <c r="U702" s="238"/>
      <c r="V702" s="270" t="e">
        <f>IF(C702="",NA(),MATCH($B702&amp;$C702,'Smelter Look-up'!$J:$J,0))</f>
        <v>#N/A</v>
      </c>
      <c r="W702" s="271"/>
      <c r="X702" s="271">
        <f t="shared" ca="1" si="121"/>
        <v>0</v>
      </c>
      <c r="Y702" s="271"/>
      <c r="Z702" s="271"/>
      <c r="AB702" s="273" t="str">
        <f t="shared" si="122"/>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20"/>
        <v/>
      </c>
      <c r="T703" s="222" t="str">
        <f ca="1">IF(B703="","",IF(ISERROR(MATCH($J703,SorP!$B$1:$B$6230,0)),"",INDIRECT("'SorP'!$A$"&amp;MATCH($J703,SorP!$B$1:$B$6230,0))))</f>
        <v/>
      </c>
      <c r="U703" s="238"/>
      <c r="V703" s="270" t="e">
        <f>IF(C703="",NA(),MATCH($B703&amp;$C703,'Smelter Look-up'!$J:$J,0))</f>
        <v>#N/A</v>
      </c>
      <c r="W703" s="271"/>
      <c r="X703" s="271">
        <f t="shared" ca="1" si="121"/>
        <v>0</v>
      </c>
      <c r="Y703" s="271"/>
      <c r="Z703" s="271"/>
      <c r="AB703" s="273" t="str">
        <f t="shared" si="122"/>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20"/>
        <v/>
      </c>
      <c r="T704" s="222" t="str">
        <f ca="1">IF(B704="","",IF(ISERROR(MATCH($J704,SorP!$B$1:$B$6230,0)),"",INDIRECT("'SorP'!$A$"&amp;MATCH($J704,SorP!$B$1:$B$6230,0))))</f>
        <v/>
      </c>
      <c r="U704" s="238"/>
      <c r="V704" s="270" t="e">
        <f>IF(C704="",NA(),MATCH($B704&amp;$C704,'Smelter Look-up'!$J:$J,0))</f>
        <v>#N/A</v>
      </c>
      <c r="W704" s="271"/>
      <c r="X704" s="271">
        <f t="shared" ca="1" si="121"/>
        <v>0</v>
      </c>
      <c r="Y704" s="271"/>
      <c r="Z704" s="271"/>
      <c r="AB704" s="273" t="str">
        <f t="shared" si="122"/>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20"/>
        <v/>
      </c>
      <c r="T705" s="222" t="str">
        <f ca="1">IF(B705="","",IF(ISERROR(MATCH($J705,SorP!$B$1:$B$6230,0)),"",INDIRECT("'SorP'!$A$"&amp;MATCH($J705,SorP!$B$1:$B$6230,0))))</f>
        <v/>
      </c>
      <c r="U705" s="238"/>
      <c r="V705" s="270" t="e">
        <f>IF(C705="",NA(),MATCH($B705&amp;$C705,'Smelter Look-up'!$J:$J,0))</f>
        <v>#N/A</v>
      </c>
      <c r="W705" s="271"/>
      <c r="X705" s="271">
        <f t="shared" ca="1" si="121"/>
        <v>0</v>
      </c>
      <c r="Y705" s="271"/>
      <c r="Z705" s="271"/>
      <c r="AB705" s="273" t="str">
        <f t="shared" si="122"/>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20"/>
        <v/>
      </c>
      <c r="T706" s="222" t="str">
        <f ca="1">IF(B706="","",IF(ISERROR(MATCH($J706,SorP!$B$1:$B$6230,0)),"",INDIRECT("'SorP'!$A$"&amp;MATCH($J706,SorP!$B$1:$B$6230,0))))</f>
        <v/>
      </c>
      <c r="U706" s="238"/>
      <c r="V706" s="270" t="e">
        <f>IF(C706="",NA(),MATCH($B706&amp;$C706,'Smelter Look-up'!$J:$J,0))</f>
        <v>#N/A</v>
      </c>
      <c r="W706" s="271"/>
      <c r="X706" s="271">
        <f t="shared" ca="1" si="121"/>
        <v>0</v>
      </c>
      <c r="Y706" s="271"/>
      <c r="Z706" s="271"/>
      <c r="AB706" s="273" t="str">
        <f t="shared" si="122"/>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20"/>
        <v/>
      </c>
      <c r="T707" s="222" t="str">
        <f ca="1">IF(B707="","",IF(ISERROR(MATCH($J707,SorP!$B$1:$B$6230,0)),"",INDIRECT("'SorP'!$A$"&amp;MATCH($J707,SorP!$B$1:$B$6230,0))))</f>
        <v/>
      </c>
      <c r="U707" s="238"/>
      <c r="V707" s="270" t="e">
        <f>IF(C707="",NA(),MATCH($B707&amp;$C707,'Smelter Look-up'!$J:$J,0))</f>
        <v>#N/A</v>
      </c>
      <c r="W707" s="271"/>
      <c r="X707" s="271">
        <f t="shared" ca="1" si="121"/>
        <v>0</v>
      </c>
      <c r="Y707" s="271"/>
      <c r="Z707" s="271"/>
      <c r="AB707" s="273" t="str">
        <f t="shared" si="122"/>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20"/>
        <v/>
      </c>
      <c r="T708" s="222" t="str">
        <f ca="1">IF(B708="","",IF(ISERROR(MATCH($J708,SorP!$B$1:$B$6230,0)),"",INDIRECT("'SorP'!$A$"&amp;MATCH($J708,SorP!$B$1:$B$6230,0))))</f>
        <v/>
      </c>
      <c r="U708" s="238"/>
      <c r="V708" s="270" t="e">
        <f>IF(C708="",NA(),MATCH($B708&amp;$C708,'Smelter Look-up'!$J:$J,0))</f>
        <v>#N/A</v>
      </c>
      <c r="W708" s="271"/>
      <c r="X708" s="271">
        <f t="shared" ca="1" si="121"/>
        <v>0</v>
      </c>
      <c r="Y708" s="271"/>
      <c r="Z708" s="271"/>
      <c r="AB708" s="273" t="str">
        <f t="shared" si="122"/>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20"/>
        <v/>
      </c>
      <c r="T709" s="222" t="str">
        <f ca="1">IF(B709="","",IF(ISERROR(MATCH($J709,SorP!$B$1:$B$6230,0)),"",INDIRECT("'SorP'!$A$"&amp;MATCH($J709,SorP!$B$1:$B$6230,0))))</f>
        <v/>
      </c>
      <c r="U709" s="238"/>
      <c r="V709" s="270" t="e">
        <f>IF(C709="",NA(),MATCH($B709&amp;$C709,'Smelter Look-up'!$J:$J,0))</f>
        <v>#N/A</v>
      </c>
      <c r="W709" s="271"/>
      <c r="X709" s="271">
        <f t="shared" ca="1" si="121"/>
        <v>0</v>
      </c>
      <c r="Y709" s="271"/>
      <c r="Z709" s="271"/>
      <c r="AB709" s="273" t="str">
        <f t="shared" si="122"/>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20"/>
        <v/>
      </c>
      <c r="T710" s="222" t="str">
        <f ca="1">IF(B710="","",IF(ISERROR(MATCH($J710,SorP!$B$1:$B$6230,0)),"",INDIRECT("'SorP'!$A$"&amp;MATCH($J710,SorP!$B$1:$B$6230,0))))</f>
        <v/>
      </c>
      <c r="U710" s="238"/>
      <c r="V710" s="270" t="e">
        <f>IF(C710="",NA(),MATCH($B710&amp;$C710,'Smelter Look-up'!$J:$J,0))</f>
        <v>#N/A</v>
      </c>
      <c r="W710" s="271"/>
      <c r="X710" s="271">
        <f t="shared" ca="1" si="121"/>
        <v>0</v>
      </c>
      <c r="Y710" s="271"/>
      <c r="Z710" s="271"/>
      <c r="AB710" s="273" t="str">
        <f t="shared" si="122"/>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20"/>
        <v/>
      </c>
      <c r="T711" s="222" t="str">
        <f ca="1">IF(B711="","",IF(ISERROR(MATCH($J711,SorP!$B$1:$B$6230,0)),"",INDIRECT("'SorP'!$A$"&amp;MATCH($J711,SorP!$B$1:$B$6230,0))))</f>
        <v/>
      </c>
      <c r="U711" s="238"/>
      <c r="V711" s="270" t="e">
        <f>IF(C711="",NA(),MATCH($B711&amp;$C711,'Smelter Look-up'!$J:$J,0))</f>
        <v>#N/A</v>
      </c>
      <c r="W711" s="271"/>
      <c r="X711" s="271">
        <f t="shared" ca="1" si="121"/>
        <v>0</v>
      </c>
      <c r="Y711" s="271"/>
      <c r="Z711" s="271"/>
      <c r="AB711" s="273" t="str">
        <f t="shared" si="122"/>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20"/>
        <v/>
      </c>
      <c r="T712" s="222" t="str">
        <f ca="1">IF(B712="","",IF(ISERROR(MATCH($J712,SorP!$B$1:$B$6230,0)),"",INDIRECT("'SorP'!$A$"&amp;MATCH($J712,SorP!$B$1:$B$6230,0))))</f>
        <v/>
      </c>
      <c r="U712" s="238"/>
      <c r="V712" s="270" t="e">
        <f>IF(C712="",NA(),MATCH($B712&amp;$C712,'Smelter Look-up'!$J:$J,0))</f>
        <v>#N/A</v>
      </c>
      <c r="W712" s="271"/>
      <c r="X712" s="271">
        <f t="shared" ca="1" si="121"/>
        <v>0</v>
      </c>
      <c r="Y712" s="271"/>
      <c r="Z712" s="271"/>
      <c r="AB712" s="273" t="str">
        <f t="shared" si="122"/>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20"/>
        <v/>
      </c>
      <c r="T713" s="222" t="str">
        <f ca="1">IF(B713="","",IF(ISERROR(MATCH($J713,SorP!$B$1:$B$6230,0)),"",INDIRECT("'SorP'!$A$"&amp;MATCH($J713,SorP!$B$1:$B$6230,0))))</f>
        <v/>
      </c>
      <c r="U713" s="238"/>
      <c r="V713" s="270" t="e">
        <f>IF(C713="",NA(),MATCH($B713&amp;$C713,'Smelter Look-up'!$J:$J,0))</f>
        <v>#N/A</v>
      </c>
      <c r="W713" s="271"/>
      <c r="X713" s="271">
        <f t="shared" ca="1" si="121"/>
        <v>0</v>
      </c>
      <c r="Y713" s="271"/>
      <c r="Z713" s="271"/>
      <c r="AB713" s="273" t="str">
        <f t="shared" si="122"/>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20"/>
        <v/>
      </c>
      <c r="T714" s="222" t="str">
        <f ca="1">IF(B714="","",IF(ISERROR(MATCH($J714,SorP!$B$1:$B$6230,0)),"",INDIRECT("'SorP'!$A$"&amp;MATCH($J714,SorP!$B$1:$B$6230,0))))</f>
        <v/>
      </c>
      <c r="U714" s="238"/>
      <c r="V714" s="270" t="e">
        <f>IF(C714="",NA(),MATCH($B714&amp;$C714,'Smelter Look-up'!$J:$J,0))</f>
        <v>#N/A</v>
      </c>
      <c r="W714" s="271"/>
      <c r="X714" s="271">
        <f t="shared" ca="1" si="121"/>
        <v>0</v>
      </c>
      <c r="Y714" s="271"/>
      <c r="Z714" s="271"/>
      <c r="AB714" s="273" t="str">
        <f t="shared" si="122"/>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20"/>
        <v/>
      </c>
      <c r="T715" s="222" t="str">
        <f ca="1">IF(B715="","",IF(ISERROR(MATCH($J715,SorP!$B$1:$B$6230,0)),"",INDIRECT("'SorP'!$A$"&amp;MATCH($J715,SorP!$B$1:$B$6230,0))))</f>
        <v/>
      </c>
      <c r="U715" s="238"/>
      <c r="V715" s="270" t="e">
        <f>IF(C715="",NA(),MATCH($B715&amp;$C715,'Smelter Look-up'!$J:$J,0))</f>
        <v>#N/A</v>
      </c>
      <c r="W715" s="271"/>
      <c r="X715" s="271">
        <f t="shared" ca="1" si="121"/>
        <v>0</v>
      </c>
      <c r="Y715" s="271"/>
      <c r="Z715" s="271"/>
      <c r="AB715" s="273" t="str">
        <f t="shared" si="122"/>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20"/>
        <v/>
      </c>
      <c r="T716" s="222" t="str">
        <f ca="1">IF(B716="","",IF(ISERROR(MATCH($J716,SorP!$B$1:$B$6230,0)),"",INDIRECT("'SorP'!$A$"&amp;MATCH($J716,SorP!$B$1:$B$6230,0))))</f>
        <v/>
      </c>
      <c r="U716" s="238"/>
      <c r="V716" s="270" t="e">
        <f>IF(C716="",NA(),MATCH($B716&amp;$C716,'Smelter Look-up'!$J:$J,0))</f>
        <v>#N/A</v>
      </c>
      <c r="W716" s="271"/>
      <c r="X716" s="271">
        <f t="shared" ca="1" si="121"/>
        <v>0</v>
      </c>
      <c r="Y716" s="271"/>
      <c r="Z716" s="271"/>
      <c r="AB716" s="273" t="str">
        <f t="shared" si="122"/>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20"/>
        <v/>
      </c>
      <c r="T717" s="222" t="str">
        <f ca="1">IF(B717="","",IF(ISERROR(MATCH($J717,SorP!$B$1:$B$6230,0)),"",INDIRECT("'SorP'!$A$"&amp;MATCH($J717,SorP!$B$1:$B$6230,0))))</f>
        <v/>
      </c>
      <c r="U717" s="238"/>
      <c r="V717" s="270" t="e">
        <f>IF(C717="",NA(),MATCH($B717&amp;$C717,'Smelter Look-up'!$J:$J,0))</f>
        <v>#N/A</v>
      </c>
      <c r="W717" s="271"/>
      <c r="X717" s="271">
        <f t="shared" ca="1" si="121"/>
        <v>0</v>
      </c>
      <c r="Y717" s="271"/>
      <c r="Z717" s="271"/>
      <c r="AB717" s="273" t="str">
        <f t="shared" si="122"/>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20"/>
        <v/>
      </c>
      <c r="T718" s="222" t="str">
        <f ca="1">IF(B718="","",IF(ISERROR(MATCH($J718,SorP!$B$1:$B$6230,0)),"",INDIRECT("'SorP'!$A$"&amp;MATCH($J718,SorP!$B$1:$B$6230,0))))</f>
        <v/>
      </c>
      <c r="U718" s="238"/>
      <c r="V718" s="270" t="e">
        <f>IF(C718="",NA(),MATCH($B718&amp;$C718,'Smelter Look-up'!$J:$J,0))</f>
        <v>#N/A</v>
      </c>
      <c r="W718" s="271"/>
      <c r="X718" s="271">
        <f t="shared" ca="1" si="121"/>
        <v>0</v>
      </c>
      <c r="Y718" s="271"/>
      <c r="Z718" s="271"/>
      <c r="AB718" s="273" t="str">
        <f t="shared" si="122"/>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20"/>
        <v/>
      </c>
      <c r="T719" s="222" t="str">
        <f ca="1">IF(B719="","",IF(ISERROR(MATCH($J719,SorP!$B$1:$B$6230,0)),"",INDIRECT("'SorP'!$A$"&amp;MATCH($J719,SorP!$B$1:$B$6230,0))))</f>
        <v/>
      </c>
      <c r="U719" s="238"/>
      <c r="V719" s="270" t="e">
        <f>IF(C719="",NA(),MATCH($B719&amp;$C719,'Smelter Look-up'!$J:$J,0))</f>
        <v>#N/A</v>
      </c>
      <c r="W719" s="271"/>
      <c r="X719" s="271">
        <f t="shared" ca="1" si="121"/>
        <v>0</v>
      </c>
      <c r="Y719" s="271"/>
      <c r="Z719" s="271"/>
      <c r="AB719" s="273" t="str">
        <f t="shared" si="122"/>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20"/>
        <v/>
      </c>
      <c r="T720" s="222" t="str">
        <f ca="1">IF(B720="","",IF(ISERROR(MATCH($J720,SorP!$B$1:$B$6230,0)),"",INDIRECT("'SorP'!$A$"&amp;MATCH($J720,SorP!$B$1:$B$6230,0))))</f>
        <v/>
      </c>
      <c r="U720" s="238"/>
      <c r="V720" s="270" t="e">
        <f>IF(C720="",NA(),MATCH($B720&amp;$C720,'Smelter Look-up'!$J:$J,0))</f>
        <v>#N/A</v>
      </c>
      <c r="W720" s="271"/>
      <c r="X720" s="271">
        <f t="shared" ca="1" si="121"/>
        <v>0</v>
      </c>
      <c r="Y720" s="271"/>
      <c r="Z720" s="271"/>
      <c r="AB720" s="273" t="str">
        <f t="shared" si="122"/>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20"/>
        <v/>
      </c>
      <c r="T721" s="222" t="str">
        <f ca="1">IF(B721="","",IF(ISERROR(MATCH($J721,SorP!$B$1:$B$6230,0)),"",INDIRECT("'SorP'!$A$"&amp;MATCH($J721,SorP!$B$1:$B$6230,0))))</f>
        <v/>
      </c>
      <c r="U721" s="238"/>
      <c r="V721" s="270" t="e">
        <f>IF(C721="",NA(),MATCH($B721&amp;$C721,'Smelter Look-up'!$J:$J,0))</f>
        <v>#N/A</v>
      </c>
      <c r="W721" s="271"/>
      <c r="X721" s="271">
        <f t="shared" ca="1" si="121"/>
        <v>0</v>
      </c>
      <c r="Y721" s="271"/>
      <c r="Z721" s="271"/>
      <c r="AB721" s="273" t="str">
        <f t="shared" si="122"/>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20"/>
        <v/>
      </c>
      <c r="T722" s="222" t="str">
        <f ca="1">IF(B722="","",IF(ISERROR(MATCH($J722,SorP!$B$1:$B$6230,0)),"",INDIRECT("'SorP'!$A$"&amp;MATCH($J722,SorP!$B$1:$B$6230,0))))</f>
        <v/>
      </c>
      <c r="U722" s="238"/>
      <c r="V722" s="270" t="e">
        <f>IF(C722="",NA(),MATCH($B722&amp;$C722,'Smelter Look-up'!$J:$J,0))</f>
        <v>#N/A</v>
      </c>
      <c r="W722" s="271"/>
      <c r="X722" s="271">
        <f t="shared" ca="1" si="121"/>
        <v>0</v>
      </c>
      <c r="Y722" s="271"/>
      <c r="Z722" s="271"/>
      <c r="AB722" s="273" t="str">
        <f t="shared" si="122"/>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20"/>
        <v/>
      </c>
      <c r="T723" s="222" t="str">
        <f ca="1">IF(B723="","",IF(ISERROR(MATCH($J723,SorP!$B$1:$B$6230,0)),"",INDIRECT("'SorP'!$A$"&amp;MATCH($J723,SorP!$B$1:$B$6230,0))))</f>
        <v/>
      </c>
      <c r="U723" s="238"/>
      <c r="V723" s="270" t="e">
        <f>IF(C723="",NA(),MATCH($B723&amp;$C723,'Smelter Look-up'!$J:$J,0))</f>
        <v>#N/A</v>
      </c>
      <c r="W723" s="271"/>
      <c r="X723" s="271">
        <f t="shared" ca="1" si="121"/>
        <v>0</v>
      </c>
      <c r="Y723" s="271"/>
      <c r="Z723" s="271"/>
      <c r="AB723" s="273" t="str">
        <f t="shared" si="122"/>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20"/>
        <v/>
      </c>
      <c r="T724" s="222" t="str">
        <f ca="1">IF(B724="","",IF(ISERROR(MATCH($J724,SorP!$B$1:$B$6230,0)),"",INDIRECT("'SorP'!$A$"&amp;MATCH($J724,SorP!$B$1:$B$6230,0))))</f>
        <v/>
      </c>
      <c r="U724" s="238"/>
      <c r="V724" s="270" t="e">
        <f>IF(C724="",NA(),MATCH($B724&amp;$C724,'Smelter Look-up'!$J:$J,0))</f>
        <v>#N/A</v>
      </c>
      <c r="W724" s="271"/>
      <c r="X724" s="271">
        <f t="shared" ca="1" si="121"/>
        <v>0</v>
      </c>
      <c r="Y724" s="271"/>
      <c r="Z724" s="271"/>
      <c r="AB724" s="273" t="str">
        <f t="shared" si="122"/>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20"/>
        <v/>
      </c>
      <c r="T725" s="222" t="str">
        <f ca="1">IF(B725="","",IF(ISERROR(MATCH($J725,SorP!$B$1:$B$6230,0)),"",INDIRECT("'SorP'!$A$"&amp;MATCH($J725,SorP!$B$1:$B$6230,0))))</f>
        <v/>
      </c>
      <c r="U725" s="238"/>
      <c r="V725" s="270" t="e">
        <f>IF(C725="",NA(),MATCH($B725&amp;$C725,'Smelter Look-up'!$J:$J,0))</f>
        <v>#N/A</v>
      </c>
      <c r="W725" s="271"/>
      <c r="X725" s="271">
        <f t="shared" ca="1" si="121"/>
        <v>0</v>
      </c>
      <c r="Y725" s="271"/>
      <c r="Z725" s="271"/>
      <c r="AB725" s="273" t="str">
        <f t="shared" si="122"/>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20"/>
        <v/>
      </c>
      <c r="T726" s="222" t="str">
        <f ca="1">IF(B726="","",IF(ISERROR(MATCH($J726,SorP!$B$1:$B$6230,0)),"",INDIRECT("'SorP'!$A$"&amp;MATCH($J726,SorP!$B$1:$B$6230,0))))</f>
        <v/>
      </c>
      <c r="U726" s="238"/>
      <c r="V726" s="270" t="e">
        <f>IF(C726="",NA(),MATCH($B726&amp;$C726,'Smelter Look-up'!$J:$J,0))</f>
        <v>#N/A</v>
      </c>
      <c r="W726" s="271"/>
      <c r="X726" s="271">
        <f t="shared" ca="1" si="121"/>
        <v>0</v>
      </c>
      <c r="Y726" s="271"/>
      <c r="Z726" s="271"/>
      <c r="AB726" s="273" t="str">
        <f t="shared" si="122"/>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20"/>
        <v/>
      </c>
      <c r="T727" s="222" t="str">
        <f ca="1">IF(B727="","",IF(ISERROR(MATCH($J727,SorP!$B$1:$B$6230,0)),"",INDIRECT("'SorP'!$A$"&amp;MATCH($J727,SorP!$B$1:$B$6230,0))))</f>
        <v/>
      </c>
      <c r="U727" s="238"/>
      <c r="V727" s="270" t="e">
        <f>IF(C727="",NA(),MATCH($B727&amp;$C727,'Smelter Look-up'!$J:$J,0))</f>
        <v>#N/A</v>
      </c>
      <c r="W727" s="271"/>
      <c r="X727" s="271">
        <f t="shared" ca="1" si="121"/>
        <v>0</v>
      </c>
      <c r="Y727" s="271"/>
      <c r="Z727" s="271"/>
      <c r="AB727" s="273" t="str">
        <f t="shared" si="122"/>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ref="S728" ca="1" si="123">IF(B728="","",IF(ISERROR(MATCH($E728,CL,0)),"Unknown",INDIRECT("'C'!$A$"&amp;MATCH($E728,CL,0)+1)))</f>
        <v/>
      </c>
      <c r="T728" s="222" t="str">
        <f ca="1">IF(B728="","",IF(ISERROR(MATCH($J728,SorP!$B$1:$B$6230,0)),"",INDIRECT("'SorP'!$A$"&amp;MATCH($J728,SorP!$B$1:$B$6230,0))))</f>
        <v/>
      </c>
      <c r="U728" s="238"/>
      <c r="V728" s="270" t="e">
        <f>IF(C728="",NA(),MATCH($B728&amp;$C728,'Smelter Look-up'!$J:$J,0))</f>
        <v>#N/A</v>
      </c>
      <c r="W728" s="271"/>
      <c r="X728" s="271">
        <f t="shared" ref="X728" ca="1" si="124">IF(AND(C728="Smelter not listed",OR(LEN(D728)=0,LEN(E728)=0)),1,0)</f>
        <v>0</v>
      </c>
      <c r="Y728" s="271"/>
      <c r="Z728" s="271"/>
      <c r="AB728" s="273" t="str">
        <f t="shared" ref="AB728" si="125">B728&amp;C728</f>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ref="S729:S760" ca="1" si="126">IF(B729="","",IF(ISERROR(MATCH($E729,CL,0)),"Unknown",INDIRECT("'C'!$A$"&amp;MATCH($E729,CL,0)+1)))</f>
        <v/>
      </c>
      <c r="T729" s="222" t="str">
        <f ca="1">IF(B729="","",IF(ISERROR(MATCH($J729,SorP!$B$1:$B$6230,0)),"",INDIRECT("'SorP'!$A$"&amp;MATCH($J729,SorP!$B$1:$B$6230,0))))</f>
        <v/>
      </c>
      <c r="U729" s="238"/>
      <c r="V729" s="270" t="e">
        <f>IF(C729="",NA(),MATCH($B729&amp;$C729,'Smelter Look-up'!$J:$J,0))</f>
        <v>#N/A</v>
      </c>
      <c r="W729" s="271"/>
      <c r="X729" s="271">
        <f t="shared" ref="X729:X760" ca="1" si="127">IF(AND(C729="Smelter not listed",OR(LEN(D729)=0,LEN(E729)=0)),1,0)</f>
        <v>0</v>
      </c>
      <c r="Y729" s="271"/>
      <c r="Z729" s="271"/>
      <c r="AB729" s="273" t="str">
        <f t="shared" ref="AB729:AB760" si="128">B729&amp;C729</f>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26"/>
        <v/>
      </c>
      <c r="T730" s="222" t="str">
        <f ca="1">IF(B730="","",IF(ISERROR(MATCH($J730,SorP!$B$1:$B$6230,0)),"",INDIRECT("'SorP'!$A$"&amp;MATCH($J730,SorP!$B$1:$B$6230,0))))</f>
        <v/>
      </c>
      <c r="U730" s="238"/>
      <c r="V730" s="270" t="e">
        <f>IF(C730="",NA(),MATCH($B730&amp;$C730,'Smelter Look-up'!$J:$J,0))</f>
        <v>#N/A</v>
      </c>
      <c r="W730" s="271"/>
      <c r="X730" s="271">
        <f t="shared" ca="1" si="127"/>
        <v>0</v>
      </c>
      <c r="Y730" s="271"/>
      <c r="Z730" s="271"/>
      <c r="AB730" s="273" t="str">
        <f t="shared" si="128"/>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26"/>
        <v/>
      </c>
      <c r="T731" s="222" t="str">
        <f ca="1">IF(B731="","",IF(ISERROR(MATCH($J731,SorP!$B$1:$B$6230,0)),"",INDIRECT("'SorP'!$A$"&amp;MATCH($J731,SorP!$B$1:$B$6230,0))))</f>
        <v/>
      </c>
      <c r="U731" s="238"/>
      <c r="V731" s="270" t="e">
        <f>IF(C731="",NA(),MATCH($B731&amp;$C731,'Smelter Look-up'!$J:$J,0))</f>
        <v>#N/A</v>
      </c>
      <c r="W731" s="271"/>
      <c r="X731" s="271">
        <f t="shared" ca="1" si="127"/>
        <v>0</v>
      </c>
      <c r="Y731" s="271"/>
      <c r="Z731" s="271"/>
      <c r="AB731" s="273" t="str">
        <f t="shared" si="128"/>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ca="1" si="126"/>
        <v/>
      </c>
      <c r="T732" s="222" t="str">
        <f ca="1">IF(B732="","",IF(ISERROR(MATCH($J732,SorP!$B$1:$B$6230,0)),"",INDIRECT("'SorP'!$A$"&amp;MATCH($J732,SorP!$B$1:$B$6230,0))))</f>
        <v/>
      </c>
      <c r="U732" s="238"/>
      <c r="V732" s="270" t="e">
        <f>IF(C732="",NA(),MATCH($B732&amp;$C732,'Smelter Look-up'!$J:$J,0))</f>
        <v>#N/A</v>
      </c>
      <c r="W732" s="271"/>
      <c r="X732" s="271">
        <f t="shared" ca="1" si="127"/>
        <v>0</v>
      </c>
      <c r="Y732" s="271"/>
      <c r="Z732" s="271"/>
      <c r="AB732" s="273" t="str">
        <f t="shared" si="128"/>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26"/>
        <v/>
      </c>
      <c r="T733" s="222" t="str">
        <f ca="1">IF(B733="","",IF(ISERROR(MATCH($J733,SorP!$B$1:$B$6230,0)),"",INDIRECT("'SorP'!$A$"&amp;MATCH($J733,SorP!$B$1:$B$6230,0))))</f>
        <v/>
      </c>
      <c r="U733" s="238"/>
      <c r="V733" s="270" t="e">
        <f>IF(C733="",NA(),MATCH($B733&amp;$C733,'Smelter Look-up'!$J:$J,0))</f>
        <v>#N/A</v>
      </c>
      <c r="W733" s="271"/>
      <c r="X733" s="271">
        <f t="shared" ca="1" si="127"/>
        <v>0</v>
      </c>
      <c r="Y733" s="271"/>
      <c r="Z733" s="271"/>
      <c r="AB733" s="273" t="str">
        <f t="shared" si="128"/>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26"/>
        <v/>
      </c>
      <c r="T734" s="222" t="str">
        <f ca="1">IF(B734="","",IF(ISERROR(MATCH($J734,SorP!$B$1:$B$6230,0)),"",INDIRECT("'SorP'!$A$"&amp;MATCH($J734,SorP!$B$1:$B$6230,0))))</f>
        <v/>
      </c>
      <c r="U734" s="238"/>
      <c r="V734" s="270" t="e">
        <f>IF(C734="",NA(),MATCH($B734&amp;$C734,'Smelter Look-up'!$J:$J,0))</f>
        <v>#N/A</v>
      </c>
      <c r="W734" s="271"/>
      <c r="X734" s="271">
        <f t="shared" ca="1" si="127"/>
        <v>0</v>
      </c>
      <c r="Y734" s="271"/>
      <c r="Z734" s="271"/>
      <c r="AB734" s="273" t="str">
        <f t="shared" si="128"/>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26"/>
        <v/>
      </c>
      <c r="T735" s="222" t="str">
        <f ca="1">IF(B735="","",IF(ISERROR(MATCH($J735,SorP!$B$1:$B$6230,0)),"",INDIRECT("'SorP'!$A$"&amp;MATCH($J735,SorP!$B$1:$B$6230,0))))</f>
        <v/>
      </c>
      <c r="U735" s="238"/>
      <c r="V735" s="270" t="e">
        <f>IF(C735="",NA(),MATCH($B735&amp;$C735,'Smelter Look-up'!$J:$J,0))</f>
        <v>#N/A</v>
      </c>
      <c r="W735" s="271"/>
      <c r="X735" s="271">
        <f t="shared" ca="1" si="127"/>
        <v>0</v>
      </c>
      <c r="Y735" s="271"/>
      <c r="Z735" s="271"/>
      <c r="AB735" s="273" t="str">
        <f t="shared" si="128"/>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26"/>
        <v/>
      </c>
      <c r="T736" s="222" t="str">
        <f ca="1">IF(B736="","",IF(ISERROR(MATCH($J736,SorP!$B$1:$B$6230,0)),"",INDIRECT("'SorP'!$A$"&amp;MATCH($J736,SorP!$B$1:$B$6230,0))))</f>
        <v/>
      </c>
      <c r="U736" s="238"/>
      <c r="V736" s="270" t="e">
        <f>IF(C736="",NA(),MATCH($B736&amp;$C736,'Smelter Look-up'!$J:$J,0))</f>
        <v>#N/A</v>
      </c>
      <c r="W736" s="271"/>
      <c r="X736" s="271">
        <f t="shared" ca="1" si="127"/>
        <v>0</v>
      </c>
      <c r="Y736" s="271"/>
      <c r="Z736" s="271"/>
      <c r="AB736" s="273" t="str">
        <f t="shared" si="128"/>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26"/>
        <v/>
      </c>
      <c r="T737" s="222" t="str">
        <f ca="1">IF(B737="","",IF(ISERROR(MATCH($J737,SorP!$B$1:$B$6230,0)),"",INDIRECT("'SorP'!$A$"&amp;MATCH($J737,SorP!$B$1:$B$6230,0))))</f>
        <v/>
      </c>
      <c r="U737" s="238"/>
      <c r="V737" s="270" t="e">
        <f>IF(C737="",NA(),MATCH($B737&amp;$C737,'Smelter Look-up'!$J:$J,0))</f>
        <v>#N/A</v>
      </c>
      <c r="W737" s="271"/>
      <c r="X737" s="271">
        <f t="shared" ca="1" si="127"/>
        <v>0</v>
      </c>
      <c r="Y737" s="271"/>
      <c r="Z737" s="271"/>
      <c r="AB737" s="273" t="str">
        <f t="shared" si="128"/>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26"/>
        <v/>
      </c>
      <c r="T738" s="222" t="str">
        <f ca="1">IF(B738="","",IF(ISERROR(MATCH($J738,SorP!$B$1:$B$6230,0)),"",INDIRECT("'SorP'!$A$"&amp;MATCH($J738,SorP!$B$1:$B$6230,0))))</f>
        <v/>
      </c>
      <c r="U738" s="238"/>
      <c r="V738" s="270" t="e">
        <f>IF(C738="",NA(),MATCH($B738&amp;$C738,'Smelter Look-up'!$J:$J,0))</f>
        <v>#N/A</v>
      </c>
      <c r="W738" s="271"/>
      <c r="X738" s="271">
        <f t="shared" ca="1" si="127"/>
        <v>0</v>
      </c>
      <c r="Y738" s="271"/>
      <c r="Z738" s="271"/>
      <c r="AB738" s="273" t="str">
        <f t="shared" si="128"/>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26"/>
        <v/>
      </c>
      <c r="T739" s="222" t="str">
        <f ca="1">IF(B739="","",IF(ISERROR(MATCH($J739,SorP!$B$1:$B$6230,0)),"",INDIRECT("'SorP'!$A$"&amp;MATCH($J739,SorP!$B$1:$B$6230,0))))</f>
        <v/>
      </c>
      <c r="U739" s="238"/>
      <c r="V739" s="270" t="e">
        <f>IF(C739="",NA(),MATCH($B739&amp;$C739,'Smelter Look-up'!$J:$J,0))</f>
        <v>#N/A</v>
      </c>
      <c r="W739" s="271"/>
      <c r="X739" s="271">
        <f t="shared" ca="1" si="127"/>
        <v>0</v>
      </c>
      <c r="Y739" s="271"/>
      <c r="Z739" s="271"/>
      <c r="AB739" s="273" t="str">
        <f t="shared" si="128"/>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26"/>
        <v/>
      </c>
      <c r="T740" s="222" t="str">
        <f ca="1">IF(B740="","",IF(ISERROR(MATCH($J740,SorP!$B$1:$B$6230,0)),"",INDIRECT("'SorP'!$A$"&amp;MATCH($J740,SorP!$B$1:$B$6230,0))))</f>
        <v/>
      </c>
      <c r="U740" s="238"/>
      <c r="V740" s="270" t="e">
        <f>IF(C740="",NA(),MATCH($B740&amp;$C740,'Smelter Look-up'!$J:$J,0))</f>
        <v>#N/A</v>
      </c>
      <c r="W740" s="271"/>
      <c r="X740" s="271">
        <f t="shared" ca="1" si="127"/>
        <v>0</v>
      </c>
      <c r="Y740" s="271"/>
      <c r="Z740" s="271"/>
      <c r="AB740" s="273" t="str">
        <f t="shared" si="128"/>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26"/>
        <v/>
      </c>
      <c r="T741" s="222" t="str">
        <f ca="1">IF(B741="","",IF(ISERROR(MATCH($J741,SorP!$B$1:$B$6230,0)),"",INDIRECT("'SorP'!$A$"&amp;MATCH($J741,SorP!$B$1:$B$6230,0))))</f>
        <v/>
      </c>
      <c r="U741" s="238"/>
      <c r="V741" s="270" t="e">
        <f>IF(C741="",NA(),MATCH($B741&amp;$C741,'Smelter Look-up'!$J:$J,0))</f>
        <v>#N/A</v>
      </c>
      <c r="W741" s="271"/>
      <c r="X741" s="271">
        <f t="shared" ca="1" si="127"/>
        <v>0</v>
      </c>
      <c r="Y741" s="271"/>
      <c r="Z741" s="271"/>
      <c r="AB741" s="273" t="str">
        <f t="shared" si="128"/>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26"/>
        <v/>
      </c>
      <c r="T742" s="222" t="str">
        <f ca="1">IF(B742="","",IF(ISERROR(MATCH($J742,SorP!$B$1:$B$6230,0)),"",INDIRECT("'SorP'!$A$"&amp;MATCH($J742,SorP!$B$1:$B$6230,0))))</f>
        <v/>
      </c>
      <c r="U742" s="238"/>
      <c r="V742" s="270" t="e">
        <f>IF(C742="",NA(),MATCH($B742&amp;$C742,'Smelter Look-up'!$J:$J,0))</f>
        <v>#N/A</v>
      </c>
      <c r="W742" s="271"/>
      <c r="X742" s="271">
        <f t="shared" ca="1" si="127"/>
        <v>0</v>
      </c>
      <c r="Y742" s="271"/>
      <c r="Z742" s="271"/>
      <c r="AB742" s="273" t="str">
        <f t="shared" si="128"/>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26"/>
        <v/>
      </c>
      <c r="T743" s="222" t="str">
        <f ca="1">IF(B743="","",IF(ISERROR(MATCH($J743,SorP!$B$1:$B$6230,0)),"",INDIRECT("'SorP'!$A$"&amp;MATCH($J743,SorP!$B$1:$B$6230,0))))</f>
        <v/>
      </c>
      <c r="U743" s="238"/>
      <c r="V743" s="270" t="e">
        <f>IF(C743="",NA(),MATCH($B743&amp;$C743,'Smelter Look-up'!$J:$J,0))</f>
        <v>#N/A</v>
      </c>
      <c r="W743" s="271"/>
      <c r="X743" s="271">
        <f t="shared" ca="1" si="127"/>
        <v>0</v>
      </c>
      <c r="Y743" s="271"/>
      <c r="Z743" s="271"/>
      <c r="AB743" s="273" t="str">
        <f t="shared" si="128"/>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26"/>
        <v/>
      </c>
      <c r="T744" s="222" t="str">
        <f ca="1">IF(B744="","",IF(ISERROR(MATCH($J744,SorP!$B$1:$B$6230,0)),"",INDIRECT("'SorP'!$A$"&amp;MATCH($J744,SorP!$B$1:$B$6230,0))))</f>
        <v/>
      </c>
      <c r="U744" s="238"/>
      <c r="V744" s="270" t="e">
        <f>IF(C744="",NA(),MATCH($B744&amp;$C744,'Smelter Look-up'!$J:$J,0))</f>
        <v>#N/A</v>
      </c>
      <c r="W744" s="271"/>
      <c r="X744" s="271">
        <f t="shared" ca="1" si="127"/>
        <v>0</v>
      </c>
      <c r="Y744" s="271"/>
      <c r="Z744" s="271"/>
      <c r="AB744" s="273" t="str">
        <f t="shared" si="128"/>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26"/>
        <v/>
      </c>
      <c r="T745" s="222" t="str">
        <f ca="1">IF(B745="","",IF(ISERROR(MATCH($J745,SorP!$B$1:$B$6230,0)),"",INDIRECT("'SorP'!$A$"&amp;MATCH($J745,SorP!$B$1:$B$6230,0))))</f>
        <v/>
      </c>
      <c r="U745" s="238"/>
      <c r="V745" s="270" t="e">
        <f>IF(C745="",NA(),MATCH($B745&amp;$C745,'Smelter Look-up'!$J:$J,0))</f>
        <v>#N/A</v>
      </c>
      <c r="W745" s="271"/>
      <c r="X745" s="271">
        <f t="shared" ca="1" si="127"/>
        <v>0</v>
      </c>
      <c r="Y745" s="271"/>
      <c r="Z745" s="271"/>
      <c r="AB745" s="273" t="str">
        <f t="shared" si="128"/>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26"/>
        <v/>
      </c>
      <c r="T746" s="222" t="str">
        <f ca="1">IF(B746="","",IF(ISERROR(MATCH($J746,SorP!$B$1:$B$6230,0)),"",INDIRECT("'SorP'!$A$"&amp;MATCH($J746,SorP!$B$1:$B$6230,0))))</f>
        <v/>
      </c>
      <c r="U746" s="238"/>
      <c r="V746" s="270" t="e">
        <f>IF(C746="",NA(),MATCH($B746&amp;$C746,'Smelter Look-up'!$J:$J,0))</f>
        <v>#N/A</v>
      </c>
      <c r="W746" s="271"/>
      <c r="X746" s="271">
        <f t="shared" ca="1" si="127"/>
        <v>0</v>
      </c>
      <c r="Y746" s="271"/>
      <c r="Z746" s="271"/>
      <c r="AB746" s="273" t="str">
        <f t="shared" si="128"/>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26"/>
        <v/>
      </c>
      <c r="T747" s="222" t="str">
        <f ca="1">IF(B747="","",IF(ISERROR(MATCH($J747,SorP!$B$1:$B$6230,0)),"",INDIRECT("'SorP'!$A$"&amp;MATCH($J747,SorP!$B$1:$B$6230,0))))</f>
        <v/>
      </c>
      <c r="U747" s="238"/>
      <c r="V747" s="270" t="e">
        <f>IF(C747="",NA(),MATCH($B747&amp;$C747,'Smelter Look-up'!$J:$J,0))</f>
        <v>#N/A</v>
      </c>
      <c r="W747" s="271"/>
      <c r="X747" s="271">
        <f t="shared" ca="1" si="127"/>
        <v>0</v>
      </c>
      <c r="Y747" s="271"/>
      <c r="Z747" s="271"/>
      <c r="AB747" s="273" t="str">
        <f t="shared" si="128"/>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26"/>
        <v/>
      </c>
      <c r="T748" s="222" t="str">
        <f ca="1">IF(B748="","",IF(ISERROR(MATCH($J748,SorP!$B$1:$B$6230,0)),"",INDIRECT("'SorP'!$A$"&amp;MATCH($J748,SorP!$B$1:$B$6230,0))))</f>
        <v/>
      </c>
      <c r="U748" s="238"/>
      <c r="V748" s="270" t="e">
        <f>IF(C748="",NA(),MATCH($B748&amp;$C748,'Smelter Look-up'!$J:$J,0))</f>
        <v>#N/A</v>
      </c>
      <c r="W748" s="271"/>
      <c r="X748" s="271">
        <f t="shared" ca="1" si="127"/>
        <v>0</v>
      </c>
      <c r="Y748" s="271"/>
      <c r="Z748" s="271"/>
      <c r="AB748" s="273" t="str">
        <f t="shared" si="128"/>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26"/>
        <v/>
      </c>
      <c r="T749" s="222" t="str">
        <f ca="1">IF(B749="","",IF(ISERROR(MATCH($J749,SorP!$B$1:$B$6230,0)),"",INDIRECT("'SorP'!$A$"&amp;MATCH($J749,SorP!$B$1:$B$6230,0))))</f>
        <v/>
      </c>
      <c r="U749" s="238"/>
      <c r="V749" s="270" t="e">
        <f>IF(C749="",NA(),MATCH($B749&amp;$C749,'Smelter Look-up'!$J:$J,0))</f>
        <v>#N/A</v>
      </c>
      <c r="W749" s="271"/>
      <c r="X749" s="271">
        <f t="shared" ca="1" si="127"/>
        <v>0</v>
      </c>
      <c r="Y749" s="271"/>
      <c r="Z749" s="271"/>
      <c r="AB749" s="273" t="str">
        <f t="shared" si="128"/>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26"/>
        <v/>
      </c>
      <c r="T750" s="222" t="str">
        <f ca="1">IF(B750="","",IF(ISERROR(MATCH($J750,SorP!$B$1:$B$6230,0)),"",INDIRECT("'SorP'!$A$"&amp;MATCH($J750,SorP!$B$1:$B$6230,0))))</f>
        <v/>
      </c>
      <c r="U750" s="238"/>
      <c r="V750" s="270" t="e">
        <f>IF(C750="",NA(),MATCH($B750&amp;$C750,'Smelter Look-up'!$J:$J,0))</f>
        <v>#N/A</v>
      </c>
      <c r="W750" s="271"/>
      <c r="X750" s="271">
        <f t="shared" ca="1" si="127"/>
        <v>0</v>
      </c>
      <c r="Y750" s="271"/>
      <c r="Z750" s="271"/>
      <c r="AB750" s="273" t="str">
        <f t="shared" si="128"/>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26"/>
        <v/>
      </c>
      <c r="T751" s="222" t="str">
        <f ca="1">IF(B751="","",IF(ISERROR(MATCH($J751,SorP!$B$1:$B$6230,0)),"",INDIRECT("'SorP'!$A$"&amp;MATCH($J751,SorP!$B$1:$B$6230,0))))</f>
        <v/>
      </c>
      <c r="U751" s="238"/>
      <c r="V751" s="270" t="e">
        <f>IF(C751="",NA(),MATCH($B751&amp;$C751,'Smelter Look-up'!$J:$J,0))</f>
        <v>#N/A</v>
      </c>
      <c r="W751" s="271"/>
      <c r="X751" s="271">
        <f t="shared" ca="1" si="127"/>
        <v>0</v>
      </c>
      <c r="Y751" s="271"/>
      <c r="Z751" s="271"/>
      <c r="AB751" s="273" t="str">
        <f t="shared" si="128"/>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26"/>
        <v/>
      </c>
      <c r="T752" s="222" t="str">
        <f ca="1">IF(B752="","",IF(ISERROR(MATCH($J752,SorP!$B$1:$B$6230,0)),"",INDIRECT("'SorP'!$A$"&amp;MATCH($J752,SorP!$B$1:$B$6230,0))))</f>
        <v/>
      </c>
      <c r="U752" s="238"/>
      <c r="V752" s="270" t="e">
        <f>IF(C752="",NA(),MATCH($B752&amp;$C752,'Smelter Look-up'!$J:$J,0))</f>
        <v>#N/A</v>
      </c>
      <c r="W752" s="271"/>
      <c r="X752" s="271">
        <f t="shared" ca="1" si="127"/>
        <v>0</v>
      </c>
      <c r="Y752" s="271"/>
      <c r="Z752" s="271"/>
      <c r="AB752" s="273" t="str">
        <f t="shared" si="128"/>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26"/>
        <v/>
      </c>
      <c r="T753" s="222" t="str">
        <f ca="1">IF(B753="","",IF(ISERROR(MATCH($J753,SorP!$B$1:$B$6230,0)),"",INDIRECT("'SorP'!$A$"&amp;MATCH($J753,SorP!$B$1:$B$6230,0))))</f>
        <v/>
      </c>
      <c r="U753" s="238"/>
      <c r="V753" s="270" t="e">
        <f>IF(C753="",NA(),MATCH($B753&amp;$C753,'Smelter Look-up'!$J:$J,0))</f>
        <v>#N/A</v>
      </c>
      <c r="W753" s="271"/>
      <c r="X753" s="271">
        <f t="shared" ca="1" si="127"/>
        <v>0</v>
      </c>
      <c r="Y753" s="271"/>
      <c r="Z753" s="271"/>
      <c r="AB753" s="273" t="str">
        <f t="shared" si="128"/>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26"/>
        <v/>
      </c>
      <c r="T754" s="222" t="str">
        <f ca="1">IF(B754="","",IF(ISERROR(MATCH($J754,SorP!$B$1:$B$6230,0)),"",INDIRECT("'SorP'!$A$"&amp;MATCH($J754,SorP!$B$1:$B$6230,0))))</f>
        <v/>
      </c>
      <c r="U754" s="238"/>
      <c r="V754" s="270" t="e">
        <f>IF(C754="",NA(),MATCH($B754&amp;$C754,'Smelter Look-up'!$J:$J,0))</f>
        <v>#N/A</v>
      </c>
      <c r="W754" s="271"/>
      <c r="X754" s="271">
        <f t="shared" ca="1" si="127"/>
        <v>0</v>
      </c>
      <c r="Y754" s="271"/>
      <c r="Z754" s="271"/>
      <c r="AB754" s="273" t="str">
        <f t="shared" si="128"/>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26"/>
        <v/>
      </c>
      <c r="T755" s="222" t="str">
        <f ca="1">IF(B755="","",IF(ISERROR(MATCH($J755,SorP!$B$1:$B$6230,0)),"",INDIRECT("'SorP'!$A$"&amp;MATCH($J755,SorP!$B$1:$B$6230,0))))</f>
        <v/>
      </c>
      <c r="U755" s="238"/>
      <c r="V755" s="270" t="e">
        <f>IF(C755="",NA(),MATCH($B755&amp;$C755,'Smelter Look-up'!$J:$J,0))</f>
        <v>#N/A</v>
      </c>
      <c r="W755" s="271"/>
      <c r="X755" s="271">
        <f t="shared" ca="1" si="127"/>
        <v>0</v>
      </c>
      <c r="Y755" s="271"/>
      <c r="Z755" s="271"/>
      <c r="AB755" s="273" t="str">
        <f t="shared" si="128"/>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26"/>
        <v/>
      </c>
      <c r="T756" s="222" t="str">
        <f ca="1">IF(B756="","",IF(ISERROR(MATCH($J756,SorP!$B$1:$B$6230,0)),"",INDIRECT("'SorP'!$A$"&amp;MATCH($J756,SorP!$B$1:$B$6230,0))))</f>
        <v/>
      </c>
      <c r="U756" s="238"/>
      <c r="V756" s="270" t="e">
        <f>IF(C756="",NA(),MATCH($B756&amp;$C756,'Smelter Look-up'!$J:$J,0))</f>
        <v>#N/A</v>
      </c>
      <c r="W756" s="271"/>
      <c r="X756" s="271">
        <f t="shared" ca="1" si="127"/>
        <v>0</v>
      </c>
      <c r="Y756" s="271"/>
      <c r="Z756" s="271"/>
      <c r="AB756" s="273" t="str">
        <f t="shared" si="128"/>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26"/>
        <v/>
      </c>
      <c r="T757" s="222" t="str">
        <f ca="1">IF(B757="","",IF(ISERROR(MATCH($J757,SorP!$B$1:$B$6230,0)),"",INDIRECT("'SorP'!$A$"&amp;MATCH($J757,SorP!$B$1:$B$6230,0))))</f>
        <v/>
      </c>
      <c r="U757" s="238"/>
      <c r="V757" s="270" t="e">
        <f>IF(C757="",NA(),MATCH($B757&amp;$C757,'Smelter Look-up'!$J:$J,0))</f>
        <v>#N/A</v>
      </c>
      <c r="W757" s="271"/>
      <c r="X757" s="271">
        <f t="shared" ca="1" si="127"/>
        <v>0</v>
      </c>
      <c r="Y757" s="271"/>
      <c r="Z757" s="271"/>
      <c r="AB757" s="273" t="str">
        <f t="shared" si="128"/>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26"/>
        <v/>
      </c>
      <c r="T758" s="222" t="str">
        <f ca="1">IF(B758="","",IF(ISERROR(MATCH($J758,SorP!$B$1:$B$6230,0)),"",INDIRECT("'SorP'!$A$"&amp;MATCH($J758,SorP!$B$1:$B$6230,0))))</f>
        <v/>
      </c>
      <c r="U758" s="238"/>
      <c r="V758" s="270" t="e">
        <f>IF(C758="",NA(),MATCH($B758&amp;$C758,'Smelter Look-up'!$J:$J,0))</f>
        <v>#N/A</v>
      </c>
      <c r="W758" s="271"/>
      <c r="X758" s="271">
        <f t="shared" ca="1" si="127"/>
        <v>0</v>
      </c>
      <c r="Y758" s="271"/>
      <c r="Z758" s="271"/>
      <c r="AB758" s="273" t="str">
        <f t="shared" si="128"/>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26"/>
        <v/>
      </c>
      <c r="T759" s="222" t="str">
        <f ca="1">IF(B759="","",IF(ISERROR(MATCH($J759,SorP!$B$1:$B$6230,0)),"",INDIRECT("'SorP'!$A$"&amp;MATCH($J759,SorP!$B$1:$B$6230,0))))</f>
        <v/>
      </c>
      <c r="U759" s="238"/>
      <c r="V759" s="270" t="e">
        <f>IF(C759="",NA(),MATCH($B759&amp;$C759,'Smelter Look-up'!$J:$J,0))</f>
        <v>#N/A</v>
      </c>
      <c r="W759" s="271"/>
      <c r="X759" s="271">
        <f t="shared" ca="1" si="127"/>
        <v>0</v>
      </c>
      <c r="Y759" s="271"/>
      <c r="Z759" s="271"/>
      <c r="AB759" s="273" t="str">
        <f t="shared" si="128"/>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26"/>
        <v/>
      </c>
      <c r="T760" s="222" t="str">
        <f ca="1">IF(B760="","",IF(ISERROR(MATCH($J760,SorP!$B$1:$B$6230,0)),"",INDIRECT("'SorP'!$A$"&amp;MATCH($J760,SorP!$B$1:$B$6230,0))))</f>
        <v/>
      </c>
      <c r="U760" s="238"/>
      <c r="V760" s="270" t="e">
        <f>IF(C760="",NA(),MATCH($B760&amp;$C760,'Smelter Look-up'!$J:$J,0))</f>
        <v>#N/A</v>
      </c>
      <c r="W760" s="271"/>
      <c r="X760" s="271">
        <f t="shared" ca="1" si="127"/>
        <v>0</v>
      </c>
      <c r="Y760" s="271"/>
      <c r="Z760" s="271"/>
      <c r="AB760" s="273" t="str">
        <f t="shared" si="128"/>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ref="S761:S791" ca="1" si="129">IF(B761="","",IF(ISERROR(MATCH($E761,CL,0)),"Unknown",INDIRECT("'C'!$A$"&amp;MATCH($E761,CL,0)+1)))</f>
        <v/>
      </c>
      <c r="T761" s="222" t="str">
        <f ca="1">IF(B761="","",IF(ISERROR(MATCH($J761,SorP!$B$1:$B$6230,0)),"",INDIRECT("'SorP'!$A$"&amp;MATCH($J761,SorP!$B$1:$B$6230,0))))</f>
        <v/>
      </c>
      <c r="U761" s="238"/>
      <c r="V761" s="270" t="e">
        <f>IF(C761="",NA(),MATCH($B761&amp;$C761,'Smelter Look-up'!$J:$J,0))</f>
        <v>#N/A</v>
      </c>
      <c r="W761" s="271"/>
      <c r="X761" s="271">
        <f t="shared" ref="X761:X791" ca="1" si="130">IF(AND(C761="Smelter not listed",OR(LEN(D761)=0,LEN(E761)=0)),1,0)</f>
        <v>0</v>
      </c>
      <c r="Y761" s="271"/>
      <c r="Z761" s="271"/>
      <c r="AB761" s="273" t="str">
        <f t="shared" ref="AB761:AB791" si="131">B761&amp;C761</f>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29"/>
        <v/>
      </c>
      <c r="T762" s="222" t="str">
        <f ca="1">IF(B762="","",IF(ISERROR(MATCH($J762,SorP!$B$1:$B$6230,0)),"",INDIRECT("'SorP'!$A$"&amp;MATCH($J762,SorP!$B$1:$B$6230,0))))</f>
        <v/>
      </c>
      <c r="U762" s="238"/>
      <c r="V762" s="270" t="e">
        <f>IF(C762="",NA(),MATCH($B762&amp;$C762,'Smelter Look-up'!$J:$J,0))</f>
        <v>#N/A</v>
      </c>
      <c r="W762" s="271"/>
      <c r="X762" s="271">
        <f t="shared" ca="1" si="130"/>
        <v>0</v>
      </c>
      <c r="Y762" s="271"/>
      <c r="Z762" s="271"/>
      <c r="AB762" s="273" t="str">
        <f t="shared" si="131"/>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ca="1" si="129"/>
        <v/>
      </c>
      <c r="T763" s="222" t="str">
        <f ca="1">IF(B763="","",IF(ISERROR(MATCH($J763,SorP!$B$1:$B$6230,0)),"",INDIRECT("'SorP'!$A$"&amp;MATCH($J763,SorP!$B$1:$B$6230,0))))</f>
        <v/>
      </c>
      <c r="U763" s="238"/>
      <c r="V763" s="270" t="e">
        <f>IF(C763="",NA(),MATCH($B763&amp;$C763,'Smelter Look-up'!$J:$J,0))</f>
        <v>#N/A</v>
      </c>
      <c r="W763" s="271"/>
      <c r="X763" s="271">
        <f t="shared" ca="1" si="130"/>
        <v>0</v>
      </c>
      <c r="Y763" s="271"/>
      <c r="Z763" s="271"/>
      <c r="AB763" s="273" t="str">
        <f t="shared" si="131"/>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ca="1" si="129"/>
        <v/>
      </c>
      <c r="T764" s="222" t="str">
        <f ca="1">IF(B764="","",IF(ISERROR(MATCH($J764,SorP!$B$1:$B$6230,0)),"",INDIRECT("'SorP'!$A$"&amp;MATCH($J764,SorP!$B$1:$B$6230,0))))</f>
        <v/>
      </c>
      <c r="U764" s="238"/>
      <c r="V764" s="270" t="e">
        <f>IF(C764="",NA(),MATCH($B764&amp;$C764,'Smelter Look-up'!$J:$J,0))</f>
        <v>#N/A</v>
      </c>
      <c r="W764" s="271"/>
      <c r="X764" s="271">
        <f t="shared" ca="1" si="130"/>
        <v>0</v>
      </c>
      <c r="Y764" s="271"/>
      <c r="Z764" s="271"/>
      <c r="AB764" s="273" t="str">
        <f t="shared" si="131"/>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29"/>
        <v/>
      </c>
      <c r="T765" s="222" t="str">
        <f ca="1">IF(B765="","",IF(ISERROR(MATCH($J765,SorP!$B$1:$B$6230,0)),"",INDIRECT("'SorP'!$A$"&amp;MATCH($J765,SorP!$B$1:$B$6230,0))))</f>
        <v/>
      </c>
      <c r="U765" s="238"/>
      <c r="V765" s="270" t="e">
        <f>IF(C765="",NA(),MATCH($B765&amp;$C765,'Smelter Look-up'!$J:$J,0))</f>
        <v>#N/A</v>
      </c>
      <c r="W765" s="271"/>
      <c r="X765" s="271">
        <f t="shared" ca="1" si="130"/>
        <v>0</v>
      </c>
      <c r="Y765" s="271"/>
      <c r="Z765" s="271"/>
      <c r="AB765" s="273" t="str">
        <f t="shared" si="131"/>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29"/>
        <v/>
      </c>
      <c r="T766" s="222" t="str">
        <f ca="1">IF(B766="","",IF(ISERROR(MATCH($J766,SorP!$B$1:$B$6230,0)),"",INDIRECT("'SorP'!$A$"&amp;MATCH($J766,SorP!$B$1:$B$6230,0))))</f>
        <v/>
      </c>
      <c r="U766" s="238"/>
      <c r="V766" s="270" t="e">
        <f>IF(C766="",NA(),MATCH($B766&amp;$C766,'Smelter Look-up'!$J:$J,0))</f>
        <v>#N/A</v>
      </c>
      <c r="W766" s="271"/>
      <c r="X766" s="271">
        <f t="shared" ca="1" si="130"/>
        <v>0</v>
      </c>
      <c r="Y766" s="271"/>
      <c r="Z766" s="271"/>
      <c r="AB766" s="273" t="str">
        <f t="shared" si="131"/>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29"/>
        <v/>
      </c>
      <c r="T767" s="222" t="str">
        <f ca="1">IF(B767="","",IF(ISERROR(MATCH($J767,SorP!$B$1:$B$6230,0)),"",INDIRECT("'SorP'!$A$"&amp;MATCH($J767,SorP!$B$1:$B$6230,0))))</f>
        <v/>
      </c>
      <c r="U767" s="238"/>
      <c r="V767" s="270" t="e">
        <f>IF(C767="",NA(),MATCH($B767&amp;$C767,'Smelter Look-up'!$J:$J,0))</f>
        <v>#N/A</v>
      </c>
      <c r="W767" s="271"/>
      <c r="X767" s="271">
        <f t="shared" ca="1" si="130"/>
        <v>0</v>
      </c>
      <c r="Y767" s="271"/>
      <c r="Z767" s="271"/>
      <c r="AB767" s="273" t="str">
        <f t="shared" si="131"/>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29"/>
        <v/>
      </c>
      <c r="T768" s="222" t="str">
        <f ca="1">IF(B768="","",IF(ISERROR(MATCH($J768,SorP!$B$1:$B$6230,0)),"",INDIRECT("'SorP'!$A$"&amp;MATCH($J768,SorP!$B$1:$B$6230,0))))</f>
        <v/>
      </c>
      <c r="U768" s="238"/>
      <c r="V768" s="270" t="e">
        <f>IF(C768="",NA(),MATCH($B768&amp;$C768,'Smelter Look-up'!$J:$J,0))</f>
        <v>#N/A</v>
      </c>
      <c r="W768" s="271"/>
      <c r="X768" s="271">
        <f t="shared" ca="1" si="130"/>
        <v>0</v>
      </c>
      <c r="Y768" s="271"/>
      <c r="Z768" s="271"/>
      <c r="AB768" s="273" t="str">
        <f t="shared" si="131"/>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29"/>
        <v/>
      </c>
      <c r="T769" s="222" t="str">
        <f ca="1">IF(B769="","",IF(ISERROR(MATCH($J769,SorP!$B$1:$B$6230,0)),"",INDIRECT("'SorP'!$A$"&amp;MATCH($J769,SorP!$B$1:$B$6230,0))))</f>
        <v/>
      </c>
      <c r="U769" s="238"/>
      <c r="V769" s="270" t="e">
        <f>IF(C769="",NA(),MATCH($B769&amp;$C769,'Smelter Look-up'!$J:$J,0))</f>
        <v>#N/A</v>
      </c>
      <c r="W769" s="271"/>
      <c r="X769" s="271">
        <f t="shared" ca="1" si="130"/>
        <v>0</v>
      </c>
      <c r="Y769" s="271"/>
      <c r="Z769" s="271"/>
      <c r="AB769" s="273" t="str">
        <f t="shared" si="131"/>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29"/>
        <v/>
      </c>
      <c r="T770" s="222" t="str">
        <f ca="1">IF(B770="","",IF(ISERROR(MATCH($J770,SorP!$B$1:$B$6230,0)),"",INDIRECT("'SorP'!$A$"&amp;MATCH($J770,SorP!$B$1:$B$6230,0))))</f>
        <v/>
      </c>
      <c r="U770" s="238"/>
      <c r="V770" s="270" t="e">
        <f>IF(C770="",NA(),MATCH($B770&amp;$C770,'Smelter Look-up'!$J:$J,0))</f>
        <v>#N/A</v>
      </c>
      <c r="W770" s="271"/>
      <c r="X770" s="271">
        <f t="shared" ca="1" si="130"/>
        <v>0</v>
      </c>
      <c r="Y770" s="271"/>
      <c r="Z770" s="271"/>
      <c r="AB770" s="273" t="str">
        <f t="shared" si="131"/>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29"/>
        <v/>
      </c>
      <c r="T771" s="222" t="str">
        <f ca="1">IF(B771="","",IF(ISERROR(MATCH($J771,SorP!$B$1:$B$6230,0)),"",INDIRECT("'SorP'!$A$"&amp;MATCH($J771,SorP!$B$1:$B$6230,0))))</f>
        <v/>
      </c>
      <c r="U771" s="238"/>
      <c r="V771" s="270" t="e">
        <f>IF(C771="",NA(),MATCH($B771&amp;$C771,'Smelter Look-up'!$J:$J,0))</f>
        <v>#N/A</v>
      </c>
      <c r="W771" s="271"/>
      <c r="X771" s="271">
        <f t="shared" ca="1" si="130"/>
        <v>0</v>
      </c>
      <c r="Y771" s="271"/>
      <c r="Z771" s="271"/>
      <c r="AB771" s="273" t="str">
        <f t="shared" si="131"/>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29"/>
        <v/>
      </c>
      <c r="T772" s="222" t="str">
        <f ca="1">IF(B772="","",IF(ISERROR(MATCH($J772,SorP!$B$1:$B$6230,0)),"",INDIRECT("'SorP'!$A$"&amp;MATCH($J772,SorP!$B$1:$B$6230,0))))</f>
        <v/>
      </c>
      <c r="U772" s="238"/>
      <c r="V772" s="270" t="e">
        <f>IF(C772="",NA(),MATCH($B772&amp;$C772,'Smelter Look-up'!$J:$J,0))</f>
        <v>#N/A</v>
      </c>
      <c r="W772" s="271"/>
      <c r="X772" s="271">
        <f t="shared" ca="1" si="130"/>
        <v>0</v>
      </c>
      <c r="Y772" s="271"/>
      <c r="Z772" s="271"/>
      <c r="AB772" s="273" t="str">
        <f t="shared" si="131"/>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29"/>
        <v/>
      </c>
      <c r="T773" s="222" t="str">
        <f ca="1">IF(B773="","",IF(ISERROR(MATCH($J773,SorP!$B$1:$B$6230,0)),"",INDIRECT("'SorP'!$A$"&amp;MATCH($J773,SorP!$B$1:$B$6230,0))))</f>
        <v/>
      </c>
      <c r="U773" s="238"/>
      <c r="V773" s="270" t="e">
        <f>IF(C773="",NA(),MATCH($B773&amp;$C773,'Smelter Look-up'!$J:$J,0))</f>
        <v>#N/A</v>
      </c>
      <c r="W773" s="271"/>
      <c r="X773" s="271">
        <f t="shared" ca="1" si="130"/>
        <v>0</v>
      </c>
      <c r="Y773" s="271"/>
      <c r="Z773" s="271"/>
      <c r="AB773" s="273" t="str">
        <f t="shared" si="131"/>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29"/>
        <v/>
      </c>
      <c r="T774" s="222" t="str">
        <f ca="1">IF(B774="","",IF(ISERROR(MATCH($J774,SorP!$B$1:$B$6230,0)),"",INDIRECT("'SorP'!$A$"&amp;MATCH($J774,SorP!$B$1:$B$6230,0))))</f>
        <v/>
      </c>
      <c r="U774" s="238"/>
      <c r="V774" s="270" t="e">
        <f>IF(C774="",NA(),MATCH($B774&amp;$C774,'Smelter Look-up'!$J:$J,0))</f>
        <v>#N/A</v>
      </c>
      <c r="W774" s="271"/>
      <c r="X774" s="271">
        <f t="shared" ca="1" si="130"/>
        <v>0</v>
      </c>
      <c r="Y774" s="271"/>
      <c r="Z774" s="271"/>
      <c r="AB774" s="273" t="str">
        <f t="shared" si="131"/>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29"/>
        <v/>
      </c>
      <c r="T775" s="222" t="str">
        <f ca="1">IF(B775="","",IF(ISERROR(MATCH($J775,SorP!$B$1:$B$6230,0)),"",INDIRECT("'SorP'!$A$"&amp;MATCH($J775,SorP!$B$1:$B$6230,0))))</f>
        <v/>
      </c>
      <c r="U775" s="238"/>
      <c r="V775" s="270" t="e">
        <f>IF(C775="",NA(),MATCH($B775&amp;$C775,'Smelter Look-up'!$J:$J,0))</f>
        <v>#N/A</v>
      </c>
      <c r="W775" s="271"/>
      <c r="X775" s="271">
        <f t="shared" ca="1" si="130"/>
        <v>0</v>
      </c>
      <c r="Y775" s="271"/>
      <c r="Z775" s="271"/>
      <c r="AB775" s="273" t="str">
        <f t="shared" si="131"/>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29"/>
        <v/>
      </c>
      <c r="T776" s="222" t="str">
        <f ca="1">IF(B776="","",IF(ISERROR(MATCH($J776,SorP!$B$1:$B$6230,0)),"",INDIRECT("'SorP'!$A$"&amp;MATCH($J776,SorP!$B$1:$B$6230,0))))</f>
        <v/>
      </c>
      <c r="U776" s="238"/>
      <c r="V776" s="270" t="e">
        <f>IF(C776="",NA(),MATCH($B776&amp;$C776,'Smelter Look-up'!$J:$J,0))</f>
        <v>#N/A</v>
      </c>
      <c r="W776" s="271"/>
      <c r="X776" s="271">
        <f t="shared" ca="1" si="130"/>
        <v>0</v>
      </c>
      <c r="Y776" s="271"/>
      <c r="Z776" s="271"/>
      <c r="AB776" s="273" t="str">
        <f t="shared" si="131"/>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29"/>
        <v/>
      </c>
      <c r="T777" s="222" t="str">
        <f ca="1">IF(B777="","",IF(ISERROR(MATCH($J777,SorP!$B$1:$B$6230,0)),"",INDIRECT("'SorP'!$A$"&amp;MATCH($J777,SorP!$B$1:$B$6230,0))))</f>
        <v/>
      </c>
      <c r="U777" s="238"/>
      <c r="V777" s="270" t="e">
        <f>IF(C777="",NA(),MATCH($B777&amp;$C777,'Smelter Look-up'!$J:$J,0))</f>
        <v>#N/A</v>
      </c>
      <c r="W777" s="271"/>
      <c r="X777" s="271">
        <f t="shared" ca="1" si="130"/>
        <v>0</v>
      </c>
      <c r="Y777" s="271"/>
      <c r="Z777" s="271"/>
      <c r="AB777" s="273" t="str">
        <f t="shared" si="131"/>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29"/>
        <v/>
      </c>
      <c r="T778" s="222" t="str">
        <f ca="1">IF(B778="","",IF(ISERROR(MATCH($J778,SorP!$B$1:$B$6230,0)),"",INDIRECT("'SorP'!$A$"&amp;MATCH($J778,SorP!$B$1:$B$6230,0))))</f>
        <v/>
      </c>
      <c r="U778" s="238"/>
      <c r="V778" s="270" t="e">
        <f>IF(C778="",NA(),MATCH($B778&amp;$C778,'Smelter Look-up'!$J:$J,0))</f>
        <v>#N/A</v>
      </c>
      <c r="W778" s="271"/>
      <c r="X778" s="271">
        <f t="shared" ca="1" si="130"/>
        <v>0</v>
      </c>
      <c r="Y778" s="271"/>
      <c r="Z778" s="271"/>
      <c r="AB778" s="273" t="str">
        <f t="shared" si="131"/>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29"/>
        <v/>
      </c>
      <c r="T779" s="222" t="str">
        <f ca="1">IF(B779="","",IF(ISERROR(MATCH($J779,SorP!$B$1:$B$6230,0)),"",INDIRECT("'SorP'!$A$"&amp;MATCH($J779,SorP!$B$1:$B$6230,0))))</f>
        <v/>
      </c>
      <c r="U779" s="238"/>
      <c r="V779" s="270" t="e">
        <f>IF(C779="",NA(),MATCH($B779&amp;$C779,'Smelter Look-up'!$J:$J,0))</f>
        <v>#N/A</v>
      </c>
      <c r="W779" s="271"/>
      <c r="X779" s="271">
        <f t="shared" ca="1" si="130"/>
        <v>0</v>
      </c>
      <c r="Y779" s="271"/>
      <c r="Z779" s="271"/>
      <c r="AB779" s="273" t="str">
        <f t="shared" si="131"/>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29"/>
        <v/>
      </c>
      <c r="T780" s="222" t="str">
        <f ca="1">IF(B780="","",IF(ISERROR(MATCH($J780,SorP!$B$1:$B$6230,0)),"",INDIRECT("'SorP'!$A$"&amp;MATCH($J780,SorP!$B$1:$B$6230,0))))</f>
        <v/>
      </c>
      <c r="U780" s="238"/>
      <c r="V780" s="270" t="e">
        <f>IF(C780="",NA(),MATCH($B780&amp;$C780,'Smelter Look-up'!$J:$J,0))</f>
        <v>#N/A</v>
      </c>
      <c r="W780" s="271"/>
      <c r="X780" s="271">
        <f t="shared" ca="1" si="130"/>
        <v>0</v>
      </c>
      <c r="Y780" s="271"/>
      <c r="Z780" s="271"/>
      <c r="AB780" s="273" t="str">
        <f t="shared" si="131"/>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29"/>
        <v/>
      </c>
      <c r="T781" s="222" t="str">
        <f ca="1">IF(B781="","",IF(ISERROR(MATCH($J781,SorP!$B$1:$B$6230,0)),"",INDIRECT("'SorP'!$A$"&amp;MATCH($J781,SorP!$B$1:$B$6230,0))))</f>
        <v/>
      </c>
      <c r="U781" s="238"/>
      <c r="V781" s="270" t="e">
        <f>IF(C781="",NA(),MATCH($B781&amp;$C781,'Smelter Look-up'!$J:$J,0))</f>
        <v>#N/A</v>
      </c>
      <c r="W781" s="271"/>
      <c r="X781" s="271">
        <f t="shared" ca="1" si="130"/>
        <v>0</v>
      </c>
      <c r="Y781" s="271"/>
      <c r="Z781" s="271"/>
      <c r="AB781" s="273" t="str">
        <f t="shared" si="131"/>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29"/>
        <v/>
      </c>
      <c r="T782" s="222" t="str">
        <f ca="1">IF(B782="","",IF(ISERROR(MATCH($J782,SorP!$B$1:$B$6230,0)),"",INDIRECT("'SorP'!$A$"&amp;MATCH($J782,SorP!$B$1:$B$6230,0))))</f>
        <v/>
      </c>
      <c r="U782" s="238"/>
      <c r="V782" s="270" t="e">
        <f>IF(C782="",NA(),MATCH($B782&amp;$C782,'Smelter Look-up'!$J:$J,0))</f>
        <v>#N/A</v>
      </c>
      <c r="W782" s="271"/>
      <c r="X782" s="271">
        <f t="shared" ca="1" si="130"/>
        <v>0</v>
      </c>
      <c r="Y782" s="271"/>
      <c r="Z782" s="271"/>
      <c r="AB782" s="273" t="str">
        <f t="shared" si="131"/>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29"/>
        <v/>
      </c>
      <c r="T783" s="222" t="str">
        <f ca="1">IF(B783="","",IF(ISERROR(MATCH($J783,SorP!$B$1:$B$6230,0)),"",INDIRECT("'SorP'!$A$"&amp;MATCH($J783,SorP!$B$1:$B$6230,0))))</f>
        <v/>
      </c>
      <c r="U783" s="238"/>
      <c r="V783" s="270" t="e">
        <f>IF(C783="",NA(),MATCH($B783&amp;$C783,'Smelter Look-up'!$J:$J,0))</f>
        <v>#N/A</v>
      </c>
      <c r="W783" s="271"/>
      <c r="X783" s="271">
        <f t="shared" ca="1" si="130"/>
        <v>0</v>
      </c>
      <c r="Y783" s="271"/>
      <c r="Z783" s="271"/>
      <c r="AB783" s="273" t="str">
        <f t="shared" si="131"/>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29"/>
        <v/>
      </c>
      <c r="T784" s="222" t="str">
        <f ca="1">IF(B784="","",IF(ISERROR(MATCH($J784,SorP!$B$1:$B$6230,0)),"",INDIRECT("'SorP'!$A$"&amp;MATCH($J784,SorP!$B$1:$B$6230,0))))</f>
        <v/>
      </c>
      <c r="U784" s="238"/>
      <c r="V784" s="270" t="e">
        <f>IF(C784="",NA(),MATCH($B784&amp;$C784,'Smelter Look-up'!$J:$J,0))</f>
        <v>#N/A</v>
      </c>
      <c r="W784" s="271"/>
      <c r="X784" s="271">
        <f t="shared" ca="1" si="130"/>
        <v>0</v>
      </c>
      <c r="Y784" s="271"/>
      <c r="Z784" s="271"/>
      <c r="AB784" s="273" t="str">
        <f t="shared" si="131"/>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29"/>
        <v/>
      </c>
      <c r="T785" s="222" t="str">
        <f ca="1">IF(B785="","",IF(ISERROR(MATCH($J785,SorP!$B$1:$B$6230,0)),"",INDIRECT("'SorP'!$A$"&amp;MATCH($J785,SorP!$B$1:$B$6230,0))))</f>
        <v/>
      </c>
      <c r="U785" s="238"/>
      <c r="V785" s="270" t="e">
        <f>IF(C785="",NA(),MATCH($B785&amp;$C785,'Smelter Look-up'!$J:$J,0))</f>
        <v>#N/A</v>
      </c>
      <c r="W785" s="271"/>
      <c r="X785" s="271">
        <f t="shared" ca="1" si="130"/>
        <v>0</v>
      </c>
      <c r="Y785" s="271"/>
      <c r="Z785" s="271"/>
      <c r="AB785" s="273" t="str">
        <f t="shared" si="131"/>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29"/>
        <v/>
      </c>
      <c r="T786" s="222" t="str">
        <f ca="1">IF(B786="","",IF(ISERROR(MATCH($J786,SorP!$B$1:$B$6230,0)),"",INDIRECT("'SorP'!$A$"&amp;MATCH($J786,SorP!$B$1:$B$6230,0))))</f>
        <v/>
      </c>
      <c r="U786" s="238"/>
      <c r="V786" s="270" t="e">
        <f>IF(C786="",NA(),MATCH($B786&amp;$C786,'Smelter Look-up'!$J:$J,0))</f>
        <v>#N/A</v>
      </c>
      <c r="W786" s="271"/>
      <c r="X786" s="271">
        <f t="shared" ca="1" si="130"/>
        <v>0</v>
      </c>
      <c r="Y786" s="271"/>
      <c r="Z786" s="271"/>
      <c r="AB786" s="273" t="str">
        <f t="shared" si="131"/>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29"/>
        <v/>
      </c>
      <c r="T787" s="222" t="str">
        <f ca="1">IF(B787="","",IF(ISERROR(MATCH($J787,SorP!$B$1:$B$6230,0)),"",INDIRECT("'SorP'!$A$"&amp;MATCH($J787,SorP!$B$1:$B$6230,0))))</f>
        <v/>
      </c>
      <c r="U787" s="238"/>
      <c r="V787" s="270" t="e">
        <f>IF(C787="",NA(),MATCH($B787&amp;$C787,'Smelter Look-up'!$J:$J,0))</f>
        <v>#N/A</v>
      </c>
      <c r="W787" s="271"/>
      <c r="X787" s="271">
        <f t="shared" ca="1" si="130"/>
        <v>0</v>
      </c>
      <c r="Y787" s="271"/>
      <c r="Z787" s="271"/>
      <c r="AB787" s="273" t="str">
        <f t="shared" si="131"/>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29"/>
        <v/>
      </c>
      <c r="T788" s="222" t="str">
        <f ca="1">IF(B788="","",IF(ISERROR(MATCH($J788,SorP!$B$1:$B$6230,0)),"",INDIRECT("'SorP'!$A$"&amp;MATCH($J788,SorP!$B$1:$B$6230,0))))</f>
        <v/>
      </c>
      <c r="U788" s="238"/>
      <c r="V788" s="270" t="e">
        <f>IF(C788="",NA(),MATCH($B788&amp;$C788,'Smelter Look-up'!$J:$J,0))</f>
        <v>#N/A</v>
      </c>
      <c r="W788" s="271"/>
      <c r="X788" s="271">
        <f t="shared" ca="1" si="130"/>
        <v>0</v>
      </c>
      <c r="Y788" s="271"/>
      <c r="Z788" s="271"/>
      <c r="AB788" s="273" t="str">
        <f t="shared" si="131"/>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29"/>
        <v/>
      </c>
      <c r="T789" s="222" t="str">
        <f ca="1">IF(B789="","",IF(ISERROR(MATCH($J789,SorP!$B$1:$B$6230,0)),"",INDIRECT("'SorP'!$A$"&amp;MATCH($J789,SorP!$B$1:$B$6230,0))))</f>
        <v/>
      </c>
      <c r="U789" s="238"/>
      <c r="V789" s="270" t="e">
        <f>IF(C789="",NA(),MATCH($B789&amp;$C789,'Smelter Look-up'!$J:$J,0))</f>
        <v>#N/A</v>
      </c>
      <c r="W789" s="271"/>
      <c r="X789" s="271">
        <f t="shared" ca="1" si="130"/>
        <v>0</v>
      </c>
      <c r="Y789" s="271"/>
      <c r="Z789" s="271"/>
      <c r="AB789" s="273" t="str">
        <f t="shared" si="131"/>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29"/>
        <v/>
      </c>
      <c r="T790" s="222" t="str">
        <f ca="1">IF(B790="","",IF(ISERROR(MATCH($J790,SorP!$B$1:$B$6230,0)),"",INDIRECT("'SorP'!$A$"&amp;MATCH($J790,SorP!$B$1:$B$6230,0))))</f>
        <v/>
      </c>
      <c r="U790" s="238"/>
      <c r="V790" s="270" t="e">
        <f>IF(C790="",NA(),MATCH($B790&amp;$C790,'Smelter Look-up'!$J:$J,0))</f>
        <v>#N/A</v>
      </c>
      <c r="W790" s="271"/>
      <c r="X790" s="271">
        <f t="shared" ca="1" si="130"/>
        <v>0</v>
      </c>
      <c r="Y790" s="271"/>
      <c r="Z790" s="271"/>
      <c r="AB790" s="273" t="str">
        <f t="shared" si="131"/>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29"/>
        <v/>
      </c>
      <c r="T791" s="222" t="str">
        <f ca="1">IF(B791="","",IF(ISERROR(MATCH($J791,SorP!$B$1:$B$6230,0)),"",INDIRECT("'SorP'!$A$"&amp;MATCH($J791,SorP!$B$1:$B$6230,0))))</f>
        <v/>
      </c>
      <c r="U791" s="238"/>
      <c r="V791" s="270" t="e">
        <f>IF(C791="",NA(),MATCH($B791&amp;$C791,'Smelter Look-up'!$J:$J,0))</f>
        <v>#N/A</v>
      </c>
      <c r="W791" s="271"/>
      <c r="X791" s="271">
        <f t="shared" ca="1" si="130"/>
        <v>0</v>
      </c>
      <c r="Y791" s="271"/>
      <c r="Z791" s="271"/>
      <c r="AB791" s="273" t="str">
        <f t="shared" si="131"/>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ref="S792" ca="1" si="132">IF(B792="","",IF(ISERROR(MATCH($E792,CL,0)),"Unknown",INDIRECT("'C'!$A$"&amp;MATCH($E792,CL,0)+1)))</f>
        <v/>
      </c>
      <c r="T792" s="222" t="str">
        <f ca="1">IF(B792="","",IF(ISERROR(MATCH($J792,SorP!$B$1:$B$6230,0)),"",INDIRECT("'SorP'!$A$"&amp;MATCH($J792,SorP!$B$1:$B$6230,0))))</f>
        <v/>
      </c>
      <c r="U792" s="238"/>
      <c r="V792" s="270" t="e">
        <f>IF(C792="",NA(),MATCH($B792&amp;$C792,'Smelter Look-up'!$J:$J,0))</f>
        <v>#N/A</v>
      </c>
      <c r="W792" s="271"/>
      <c r="X792" s="271">
        <f t="shared" ref="X792" ca="1" si="133">IF(AND(C792="Smelter not listed",OR(LEN(D792)=0,LEN(E792)=0)),1,0)</f>
        <v>0</v>
      </c>
      <c r="Y792" s="271"/>
      <c r="Z792" s="271"/>
      <c r="AB792" s="273" t="str">
        <f t="shared" ref="AB792" si="134">B792&amp;C792</f>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ref="S793:S824" ca="1" si="135">IF(B793="","",IF(ISERROR(MATCH($E793,CL,0)),"Unknown",INDIRECT("'C'!$A$"&amp;MATCH($E793,CL,0)+1)))</f>
        <v/>
      </c>
      <c r="T793" s="222" t="str">
        <f ca="1">IF(B793="","",IF(ISERROR(MATCH($J793,SorP!$B$1:$B$6230,0)),"",INDIRECT("'SorP'!$A$"&amp;MATCH($J793,SorP!$B$1:$B$6230,0))))</f>
        <v/>
      </c>
      <c r="U793" s="238"/>
      <c r="V793" s="270" t="e">
        <f>IF(C793="",NA(),MATCH($B793&amp;$C793,'Smelter Look-up'!$J:$J,0))</f>
        <v>#N/A</v>
      </c>
      <c r="W793" s="271"/>
      <c r="X793" s="271">
        <f t="shared" ref="X793:X824" ca="1" si="136">IF(AND(C793="Smelter not listed",OR(LEN(D793)=0,LEN(E793)=0)),1,0)</f>
        <v>0</v>
      </c>
      <c r="Y793" s="271"/>
      <c r="Z793" s="271"/>
      <c r="AB793" s="273" t="str">
        <f t="shared" ref="AB793:AB824" si="137">B793&amp;C793</f>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35"/>
        <v/>
      </c>
      <c r="T794" s="222" t="str">
        <f ca="1">IF(B794="","",IF(ISERROR(MATCH($J794,SorP!$B$1:$B$6230,0)),"",INDIRECT("'SorP'!$A$"&amp;MATCH($J794,SorP!$B$1:$B$6230,0))))</f>
        <v/>
      </c>
      <c r="U794" s="238"/>
      <c r="V794" s="270" t="e">
        <f>IF(C794="",NA(),MATCH($B794&amp;$C794,'Smelter Look-up'!$J:$J,0))</f>
        <v>#N/A</v>
      </c>
      <c r="W794" s="271"/>
      <c r="X794" s="271">
        <f t="shared" ca="1" si="136"/>
        <v>0</v>
      </c>
      <c r="Y794" s="271"/>
      <c r="Z794" s="271"/>
      <c r="AB794" s="273" t="str">
        <f t="shared" si="137"/>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35"/>
        <v/>
      </c>
      <c r="T795" s="222" t="str">
        <f ca="1">IF(B795="","",IF(ISERROR(MATCH($J795,SorP!$B$1:$B$6230,0)),"",INDIRECT("'SorP'!$A$"&amp;MATCH($J795,SorP!$B$1:$B$6230,0))))</f>
        <v/>
      </c>
      <c r="U795" s="238"/>
      <c r="V795" s="270" t="e">
        <f>IF(C795="",NA(),MATCH($B795&amp;$C795,'Smelter Look-up'!$J:$J,0))</f>
        <v>#N/A</v>
      </c>
      <c r="W795" s="271"/>
      <c r="X795" s="271">
        <f t="shared" ca="1" si="136"/>
        <v>0</v>
      </c>
      <c r="Y795" s="271"/>
      <c r="Z795" s="271"/>
      <c r="AB795" s="273" t="str">
        <f t="shared" si="137"/>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ca="1" si="135"/>
        <v/>
      </c>
      <c r="T796" s="222" t="str">
        <f ca="1">IF(B796="","",IF(ISERROR(MATCH($J796,SorP!$B$1:$B$6230,0)),"",INDIRECT("'SorP'!$A$"&amp;MATCH($J796,SorP!$B$1:$B$6230,0))))</f>
        <v/>
      </c>
      <c r="U796" s="238"/>
      <c r="V796" s="270" t="e">
        <f>IF(C796="",NA(),MATCH($B796&amp;$C796,'Smelter Look-up'!$J:$J,0))</f>
        <v>#N/A</v>
      </c>
      <c r="W796" s="271"/>
      <c r="X796" s="271">
        <f t="shared" ca="1" si="136"/>
        <v>0</v>
      </c>
      <c r="Y796" s="271"/>
      <c r="Z796" s="271"/>
      <c r="AB796" s="273" t="str">
        <f t="shared" si="137"/>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35"/>
        <v/>
      </c>
      <c r="T797" s="222" t="str">
        <f ca="1">IF(B797="","",IF(ISERROR(MATCH($J797,SorP!$B$1:$B$6230,0)),"",INDIRECT("'SorP'!$A$"&amp;MATCH($J797,SorP!$B$1:$B$6230,0))))</f>
        <v/>
      </c>
      <c r="U797" s="238"/>
      <c r="V797" s="270" t="e">
        <f>IF(C797="",NA(),MATCH($B797&amp;$C797,'Smelter Look-up'!$J:$J,0))</f>
        <v>#N/A</v>
      </c>
      <c r="W797" s="271"/>
      <c r="X797" s="271">
        <f t="shared" ca="1" si="136"/>
        <v>0</v>
      </c>
      <c r="Y797" s="271"/>
      <c r="Z797" s="271"/>
      <c r="AB797" s="273" t="str">
        <f t="shared" si="137"/>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35"/>
        <v/>
      </c>
      <c r="T798" s="222" t="str">
        <f ca="1">IF(B798="","",IF(ISERROR(MATCH($J798,SorP!$B$1:$B$6230,0)),"",INDIRECT("'SorP'!$A$"&amp;MATCH($J798,SorP!$B$1:$B$6230,0))))</f>
        <v/>
      </c>
      <c r="U798" s="238"/>
      <c r="V798" s="270" t="e">
        <f>IF(C798="",NA(),MATCH($B798&amp;$C798,'Smelter Look-up'!$J:$J,0))</f>
        <v>#N/A</v>
      </c>
      <c r="W798" s="271"/>
      <c r="X798" s="271">
        <f t="shared" ca="1" si="136"/>
        <v>0</v>
      </c>
      <c r="Y798" s="271"/>
      <c r="Z798" s="271"/>
      <c r="AB798" s="273" t="str">
        <f t="shared" si="137"/>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35"/>
        <v/>
      </c>
      <c r="T799" s="222" t="str">
        <f ca="1">IF(B799="","",IF(ISERROR(MATCH($J799,SorP!$B$1:$B$6230,0)),"",INDIRECT("'SorP'!$A$"&amp;MATCH($J799,SorP!$B$1:$B$6230,0))))</f>
        <v/>
      </c>
      <c r="U799" s="238"/>
      <c r="V799" s="270" t="e">
        <f>IF(C799="",NA(),MATCH($B799&amp;$C799,'Smelter Look-up'!$J:$J,0))</f>
        <v>#N/A</v>
      </c>
      <c r="W799" s="271"/>
      <c r="X799" s="271">
        <f t="shared" ca="1" si="136"/>
        <v>0</v>
      </c>
      <c r="Y799" s="271"/>
      <c r="Z799" s="271"/>
      <c r="AB799" s="273" t="str">
        <f t="shared" si="137"/>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35"/>
        <v/>
      </c>
      <c r="T800" s="222" t="str">
        <f ca="1">IF(B800="","",IF(ISERROR(MATCH($J800,SorP!$B$1:$B$6230,0)),"",INDIRECT("'SorP'!$A$"&amp;MATCH($J800,SorP!$B$1:$B$6230,0))))</f>
        <v/>
      </c>
      <c r="U800" s="238"/>
      <c r="V800" s="270" t="e">
        <f>IF(C800="",NA(),MATCH($B800&amp;$C800,'Smelter Look-up'!$J:$J,0))</f>
        <v>#N/A</v>
      </c>
      <c r="W800" s="271"/>
      <c r="X800" s="271">
        <f t="shared" ca="1" si="136"/>
        <v>0</v>
      </c>
      <c r="Y800" s="271"/>
      <c r="Z800" s="271"/>
      <c r="AB800" s="273" t="str">
        <f t="shared" si="137"/>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35"/>
        <v/>
      </c>
      <c r="T801" s="222" t="str">
        <f ca="1">IF(B801="","",IF(ISERROR(MATCH($J801,SorP!$B$1:$B$6230,0)),"",INDIRECT("'SorP'!$A$"&amp;MATCH($J801,SorP!$B$1:$B$6230,0))))</f>
        <v/>
      </c>
      <c r="U801" s="238"/>
      <c r="V801" s="270" t="e">
        <f>IF(C801="",NA(),MATCH($B801&amp;$C801,'Smelter Look-up'!$J:$J,0))</f>
        <v>#N/A</v>
      </c>
      <c r="W801" s="271"/>
      <c r="X801" s="271">
        <f t="shared" ca="1" si="136"/>
        <v>0</v>
      </c>
      <c r="Y801" s="271"/>
      <c r="Z801" s="271"/>
      <c r="AB801" s="273" t="str">
        <f t="shared" si="137"/>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35"/>
        <v/>
      </c>
      <c r="T802" s="222" t="str">
        <f ca="1">IF(B802="","",IF(ISERROR(MATCH($J802,SorP!$B$1:$B$6230,0)),"",INDIRECT("'SorP'!$A$"&amp;MATCH($J802,SorP!$B$1:$B$6230,0))))</f>
        <v/>
      </c>
      <c r="U802" s="238"/>
      <c r="V802" s="270" t="e">
        <f>IF(C802="",NA(),MATCH($B802&amp;$C802,'Smelter Look-up'!$J:$J,0))</f>
        <v>#N/A</v>
      </c>
      <c r="W802" s="271"/>
      <c r="X802" s="271">
        <f t="shared" ca="1" si="136"/>
        <v>0</v>
      </c>
      <c r="Y802" s="271"/>
      <c r="Z802" s="271"/>
      <c r="AB802" s="273" t="str">
        <f t="shared" si="137"/>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35"/>
        <v/>
      </c>
      <c r="T803" s="222" t="str">
        <f ca="1">IF(B803="","",IF(ISERROR(MATCH($J803,SorP!$B$1:$B$6230,0)),"",INDIRECT("'SorP'!$A$"&amp;MATCH($J803,SorP!$B$1:$B$6230,0))))</f>
        <v/>
      </c>
      <c r="U803" s="238"/>
      <c r="V803" s="270" t="e">
        <f>IF(C803="",NA(),MATCH($B803&amp;$C803,'Smelter Look-up'!$J:$J,0))</f>
        <v>#N/A</v>
      </c>
      <c r="W803" s="271"/>
      <c r="X803" s="271">
        <f t="shared" ca="1" si="136"/>
        <v>0</v>
      </c>
      <c r="Y803" s="271"/>
      <c r="Z803" s="271"/>
      <c r="AB803" s="273" t="str">
        <f t="shared" si="137"/>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35"/>
        <v/>
      </c>
      <c r="T804" s="222" t="str">
        <f ca="1">IF(B804="","",IF(ISERROR(MATCH($J804,SorP!$B$1:$B$6230,0)),"",INDIRECT("'SorP'!$A$"&amp;MATCH($J804,SorP!$B$1:$B$6230,0))))</f>
        <v/>
      </c>
      <c r="U804" s="238"/>
      <c r="V804" s="270" t="e">
        <f>IF(C804="",NA(),MATCH($B804&amp;$C804,'Smelter Look-up'!$J:$J,0))</f>
        <v>#N/A</v>
      </c>
      <c r="W804" s="271"/>
      <c r="X804" s="271">
        <f t="shared" ca="1" si="136"/>
        <v>0</v>
      </c>
      <c r="Y804" s="271"/>
      <c r="Z804" s="271"/>
      <c r="AB804" s="273" t="str">
        <f t="shared" si="137"/>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35"/>
        <v/>
      </c>
      <c r="T805" s="222" t="str">
        <f ca="1">IF(B805="","",IF(ISERROR(MATCH($J805,SorP!$B$1:$B$6230,0)),"",INDIRECT("'SorP'!$A$"&amp;MATCH($J805,SorP!$B$1:$B$6230,0))))</f>
        <v/>
      </c>
      <c r="U805" s="238"/>
      <c r="V805" s="270" t="e">
        <f>IF(C805="",NA(),MATCH($B805&amp;$C805,'Smelter Look-up'!$J:$J,0))</f>
        <v>#N/A</v>
      </c>
      <c r="W805" s="271"/>
      <c r="X805" s="271">
        <f t="shared" ca="1" si="136"/>
        <v>0</v>
      </c>
      <c r="Y805" s="271"/>
      <c r="Z805" s="271"/>
      <c r="AB805" s="273" t="str">
        <f t="shared" si="137"/>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35"/>
        <v/>
      </c>
      <c r="T806" s="222" t="str">
        <f ca="1">IF(B806="","",IF(ISERROR(MATCH($J806,SorP!$B$1:$B$6230,0)),"",INDIRECT("'SorP'!$A$"&amp;MATCH($J806,SorP!$B$1:$B$6230,0))))</f>
        <v/>
      </c>
      <c r="U806" s="238"/>
      <c r="V806" s="270" t="e">
        <f>IF(C806="",NA(),MATCH($B806&amp;$C806,'Smelter Look-up'!$J:$J,0))</f>
        <v>#N/A</v>
      </c>
      <c r="W806" s="271"/>
      <c r="X806" s="271">
        <f t="shared" ca="1" si="136"/>
        <v>0</v>
      </c>
      <c r="Y806" s="271"/>
      <c r="Z806" s="271"/>
      <c r="AB806" s="273" t="str">
        <f t="shared" si="137"/>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35"/>
        <v/>
      </c>
      <c r="T807" s="222" t="str">
        <f ca="1">IF(B807="","",IF(ISERROR(MATCH($J807,SorP!$B$1:$B$6230,0)),"",INDIRECT("'SorP'!$A$"&amp;MATCH($J807,SorP!$B$1:$B$6230,0))))</f>
        <v/>
      </c>
      <c r="U807" s="238"/>
      <c r="V807" s="270" t="e">
        <f>IF(C807="",NA(),MATCH($B807&amp;$C807,'Smelter Look-up'!$J:$J,0))</f>
        <v>#N/A</v>
      </c>
      <c r="W807" s="271"/>
      <c r="X807" s="271">
        <f t="shared" ca="1" si="136"/>
        <v>0</v>
      </c>
      <c r="Y807" s="271"/>
      <c r="Z807" s="271"/>
      <c r="AB807" s="273" t="str">
        <f t="shared" si="137"/>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35"/>
        <v/>
      </c>
      <c r="T808" s="222" t="str">
        <f ca="1">IF(B808="","",IF(ISERROR(MATCH($J808,SorP!$B$1:$B$6230,0)),"",INDIRECT("'SorP'!$A$"&amp;MATCH($J808,SorP!$B$1:$B$6230,0))))</f>
        <v/>
      </c>
      <c r="U808" s="238"/>
      <c r="V808" s="270" t="e">
        <f>IF(C808="",NA(),MATCH($B808&amp;$C808,'Smelter Look-up'!$J:$J,0))</f>
        <v>#N/A</v>
      </c>
      <c r="W808" s="271"/>
      <c r="X808" s="271">
        <f t="shared" ca="1" si="136"/>
        <v>0</v>
      </c>
      <c r="Y808" s="271"/>
      <c r="Z808" s="271"/>
      <c r="AB808" s="273" t="str">
        <f t="shared" si="137"/>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35"/>
        <v/>
      </c>
      <c r="T809" s="222" t="str">
        <f ca="1">IF(B809="","",IF(ISERROR(MATCH($J809,SorP!$B$1:$B$6230,0)),"",INDIRECT("'SorP'!$A$"&amp;MATCH($J809,SorP!$B$1:$B$6230,0))))</f>
        <v/>
      </c>
      <c r="U809" s="238"/>
      <c r="V809" s="270" t="e">
        <f>IF(C809="",NA(),MATCH($B809&amp;$C809,'Smelter Look-up'!$J:$J,0))</f>
        <v>#N/A</v>
      </c>
      <c r="W809" s="271"/>
      <c r="X809" s="271">
        <f t="shared" ca="1" si="136"/>
        <v>0</v>
      </c>
      <c r="Y809" s="271"/>
      <c r="Z809" s="271"/>
      <c r="AB809" s="273" t="str">
        <f t="shared" si="137"/>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35"/>
        <v/>
      </c>
      <c r="T810" s="222" t="str">
        <f ca="1">IF(B810="","",IF(ISERROR(MATCH($J810,SorP!$B$1:$B$6230,0)),"",INDIRECT("'SorP'!$A$"&amp;MATCH($J810,SorP!$B$1:$B$6230,0))))</f>
        <v/>
      </c>
      <c r="U810" s="238"/>
      <c r="V810" s="270" t="e">
        <f>IF(C810="",NA(),MATCH($B810&amp;$C810,'Smelter Look-up'!$J:$J,0))</f>
        <v>#N/A</v>
      </c>
      <c r="W810" s="271"/>
      <c r="X810" s="271">
        <f t="shared" ca="1" si="136"/>
        <v>0</v>
      </c>
      <c r="Y810" s="271"/>
      <c r="Z810" s="271"/>
      <c r="AB810" s="273" t="str">
        <f t="shared" si="137"/>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35"/>
        <v/>
      </c>
      <c r="T811" s="222" t="str">
        <f ca="1">IF(B811="","",IF(ISERROR(MATCH($J811,SorP!$B$1:$B$6230,0)),"",INDIRECT("'SorP'!$A$"&amp;MATCH($J811,SorP!$B$1:$B$6230,0))))</f>
        <v/>
      </c>
      <c r="U811" s="238"/>
      <c r="V811" s="270" t="e">
        <f>IF(C811="",NA(),MATCH($B811&amp;$C811,'Smelter Look-up'!$J:$J,0))</f>
        <v>#N/A</v>
      </c>
      <c r="W811" s="271"/>
      <c r="X811" s="271">
        <f t="shared" ca="1" si="136"/>
        <v>0</v>
      </c>
      <c r="Y811" s="271"/>
      <c r="Z811" s="271"/>
      <c r="AB811" s="273" t="str">
        <f t="shared" si="137"/>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35"/>
        <v/>
      </c>
      <c r="T812" s="222" t="str">
        <f ca="1">IF(B812="","",IF(ISERROR(MATCH($J812,SorP!$B$1:$B$6230,0)),"",INDIRECT("'SorP'!$A$"&amp;MATCH($J812,SorP!$B$1:$B$6230,0))))</f>
        <v/>
      </c>
      <c r="U812" s="238"/>
      <c r="V812" s="270" t="e">
        <f>IF(C812="",NA(),MATCH($B812&amp;$C812,'Smelter Look-up'!$J:$J,0))</f>
        <v>#N/A</v>
      </c>
      <c r="W812" s="271"/>
      <c r="X812" s="271">
        <f t="shared" ca="1" si="136"/>
        <v>0</v>
      </c>
      <c r="Y812" s="271"/>
      <c r="Z812" s="271"/>
      <c r="AB812" s="273" t="str">
        <f t="shared" si="137"/>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35"/>
        <v/>
      </c>
      <c r="T813" s="222" t="str">
        <f ca="1">IF(B813="","",IF(ISERROR(MATCH($J813,SorP!$B$1:$B$6230,0)),"",INDIRECT("'SorP'!$A$"&amp;MATCH($J813,SorP!$B$1:$B$6230,0))))</f>
        <v/>
      </c>
      <c r="U813" s="238"/>
      <c r="V813" s="270" t="e">
        <f>IF(C813="",NA(),MATCH($B813&amp;$C813,'Smelter Look-up'!$J:$J,0))</f>
        <v>#N/A</v>
      </c>
      <c r="W813" s="271"/>
      <c r="X813" s="271">
        <f t="shared" ca="1" si="136"/>
        <v>0</v>
      </c>
      <c r="Y813" s="271"/>
      <c r="Z813" s="271"/>
      <c r="AB813" s="273" t="str">
        <f t="shared" si="137"/>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35"/>
        <v/>
      </c>
      <c r="T814" s="222" t="str">
        <f ca="1">IF(B814="","",IF(ISERROR(MATCH($J814,SorP!$B$1:$B$6230,0)),"",INDIRECT("'SorP'!$A$"&amp;MATCH($J814,SorP!$B$1:$B$6230,0))))</f>
        <v/>
      </c>
      <c r="U814" s="238"/>
      <c r="V814" s="270" t="e">
        <f>IF(C814="",NA(),MATCH($B814&amp;$C814,'Smelter Look-up'!$J:$J,0))</f>
        <v>#N/A</v>
      </c>
      <c r="W814" s="271"/>
      <c r="X814" s="271">
        <f t="shared" ca="1" si="136"/>
        <v>0</v>
      </c>
      <c r="Y814" s="271"/>
      <c r="Z814" s="271"/>
      <c r="AB814" s="273" t="str">
        <f t="shared" si="137"/>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35"/>
        <v/>
      </c>
      <c r="T815" s="222" t="str">
        <f ca="1">IF(B815="","",IF(ISERROR(MATCH($J815,SorP!$B$1:$B$6230,0)),"",INDIRECT("'SorP'!$A$"&amp;MATCH($J815,SorP!$B$1:$B$6230,0))))</f>
        <v/>
      </c>
      <c r="U815" s="238"/>
      <c r="V815" s="270" t="e">
        <f>IF(C815="",NA(),MATCH($B815&amp;$C815,'Smelter Look-up'!$J:$J,0))</f>
        <v>#N/A</v>
      </c>
      <c r="W815" s="271"/>
      <c r="X815" s="271">
        <f t="shared" ca="1" si="136"/>
        <v>0</v>
      </c>
      <c r="Y815" s="271"/>
      <c r="Z815" s="271"/>
      <c r="AB815" s="273" t="str">
        <f t="shared" si="137"/>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35"/>
        <v/>
      </c>
      <c r="T816" s="222" t="str">
        <f ca="1">IF(B816="","",IF(ISERROR(MATCH($J816,SorP!$B$1:$B$6230,0)),"",INDIRECT("'SorP'!$A$"&amp;MATCH($J816,SorP!$B$1:$B$6230,0))))</f>
        <v/>
      </c>
      <c r="U816" s="238"/>
      <c r="V816" s="270" t="e">
        <f>IF(C816="",NA(),MATCH($B816&amp;$C816,'Smelter Look-up'!$J:$J,0))</f>
        <v>#N/A</v>
      </c>
      <c r="W816" s="271"/>
      <c r="X816" s="271">
        <f t="shared" ca="1" si="136"/>
        <v>0</v>
      </c>
      <c r="Y816" s="271"/>
      <c r="Z816" s="271"/>
      <c r="AB816" s="273" t="str">
        <f t="shared" si="137"/>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35"/>
        <v/>
      </c>
      <c r="T817" s="222" t="str">
        <f ca="1">IF(B817="","",IF(ISERROR(MATCH($J817,SorP!$B$1:$B$6230,0)),"",INDIRECT("'SorP'!$A$"&amp;MATCH($J817,SorP!$B$1:$B$6230,0))))</f>
        <v/>
      </c>
      <c r="U817" s="238"/>
      <c r="V817" s="270" t="e">
        <f>IF(C817="",NA(),MATCH($B817&amp;$C817,'Smelter Look-up'!$J:$J,0))</f>
        <v>#N/A</v>
      </c>
      <c r="W817" s="271"/>
      <c r="X817" s="271">
        <f t="shared" ca="1" si="136"/>
        <v>0</v>
      </c>
      <c r="Y817" s="271"/>
      <c r="Z817" s="271"/>
      <c r="AB817" s="273" t="str">
        <f t="shared" si="137"/>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35"/>
        <v/>
      </c>
      <c r="T818" s="222" t="str">
        <f ca="1">IF(B818="","",IF(ISERROR(MATCH($J818,SorP!$B$1:$B$6230,0)),"",INDIRECT("'SorP'!$A$"&amp;MATCH($J818,SorP!$B$1:$B$6230,0))))</f>
        <v/>
      </c>
      <c r="U818" s="238"/>
      <c r="V818" s="270" t="e">
        <f>IF(C818="",NA(),MATCH($B818&amp;$C818,'Smelter Look-up'!$J:$J,0))</f>
        <v>#N/A</v>
      </c>
      <c r="W818" s="271"/>
      <c r="X818" s="271">
        <f t="shared" ca="1" si="136"/>
        <v>0</v>
      </c>
      <c r="Y818" s="271"/>
      <c r="Z818" s="271"/>
      <c r="AB818" s="273" t="str">
        <f t="shared" si="137"/>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35"/>
        <v/>
      </c>
      <c r="T819" s="222" t="str">
        <f ca="1">IF(B819="","",IF(ISERROR(MATCH($J819,SorP!$B$1:$B$6230,0)),"",INDIRECT("'SorP'!$A$"&amp;MATCH($J819,SorP!$B$1:$B$6230,0))))</f>
        <v/>
      </c>
      <c r="U819" s="238"/>
      <c r="V819" s="270" t="e">
        <f>IF(C819="",NA(),MATCH($B819&amp;$C819,'Smelter Look-up'!$J:$J,0))</f>
        <v>#N/A</v>
      </c>
      <c r="W819" s="271"/>
      <c r="X819" s="271">
        <f t="shared" ca="1" si="136"/>
        <v>0</v>
      </c>
      <c r="Y819" s="271"/>
      <c r="Z819" s="271"/>
      <c r="AB819" s="273" t="str">
        <f t="shared" si="137"/>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35"/>
        <v/>
      </c>
      <c r="T820" s="222" t="str">
        <f ca="1">IF(B820="","",IF(ISERROR(MATCH($J820,SorP!$B$1:$B$6230,0)),"",INDIRECT("'SorP'!$A$"&amp;MATCH($J820,SorP!$B$1:$B$6230,0))))</f>
        <v/>
      </c>
      <c r="U820" s="238"/>
      <c r="V820" s="270" t="e">
        <f>IF(C820="",NA(),MATCH($B820&amp;$C820,'Smelter Look-up'!$J:$J,0))</f>
        <v>#N/A</v>
      </c>
      <c r="W820" s="271"/>
      <c r="X820" s="271">
        <f t="shared" ca="1" si="136"/>
        <v>0</v>
      </c>
      <c r="Y820" s="271"/>
      <c r="Z820" s="271"/>
      <c r="AB820" s="273" t="str">
        <f t="shared" si="137"/>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35"/>
        <v/>
      </c>
      <c r="T821" s="222" t="str">
        <f ca="1">IF(B821="","",IF(ISERROR(MATCH($J821,SorP!$B$1:$B$6230,0)),"",INDIRECT("'SorP'!$A$"&amp;MATCH($J821,SorP!$B$1:$B$6230,0))))</f>
        <v/>
      </c>
      <c r="U821" s="238"/>
      <c r="V821" s="270" t="e">
        <f>IF(C821="",NA(),MATCH($B821&amp;$C821,'Smelter Look-up'!$J:$J,0))</f>
        <v>#N/A</v>
      </c>
      <c r="W821" s="271"/>
      <c r="X821" s="271">
        <f t="shared" ca="1" si="136"/>
        <v>0</v>
      </c>
      <c r="Y821" s="271"/>
      <c r="Z821" s="271"/>
      <c r="AB821" s="273" t="str">
        <f t="shared" si="137"/>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35"/>
        <v/>
      </c>
      <c r="T822" s="222" t="str">
        <f ca="1">IF(B822="","",IF(ISERROR(MATCH($J822,SorP!$B$1:$B$6230,0)),"",INDIRECT("'SorP'!$A$"&amp;MATCH($J822,SorP!$B$1:$B$6230,0))))</f>
        <v/>
      </c>
      <c r="U822" s="238"/>
      <c r="V822" s="270" t="e">
        <f>IF(C822="",NA(),MATCH($B822&amp;$C822,'Smelter Look-up'!$J:$J,0))</f>
        <v>#N/A</v>
      </c>
      <c r="W822" s="271"/>
      <c r="X822" s="271">
        <f t="shared" ca="1" si="136"/>
        <v>0</v>
      </c>
      <c r="Y822" s="271"/>
      <c r="Z822" s="271"/>
      <c r="AB822" s="273" t="str">
        <f t="shared" si="137"/>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35"/>
        <v/>
      </c>
      <c r="T823" s="222" t="str">
        <f ca="1">IF(B823="","",IF(ISERROR(MATCH($J823,SorP!$B$1:$B$6230,0)),"",INDIRECT("'SorP'!$A$"&amp;MATCH($J823,SorP!$B$1:$B$6230,0))))</f>
        <v/>
      </c>
      <c r="U823" s="238"/>
      <c r="V823" s="270" t="e">
        <f>IF(C823="",NA(),MATCH($B823&amp;$C823,'Smelter Look-up'!$J:$J,0))</f>
        <v>#N/A</v>
      </c>
      <c r="W823" s="271"/>
      <c r="X823" s="271">
        <f t="shared" ca="1" si="136"/>
        <v>0</v>
      </c>
      <c r="Y823" s="271"/>
      <c r="Z823" s="271"/>
      <c r="AB823" s="273" t="str">
        <f t="shared" si="137"/>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35"/>
        <v/>
      </c>
      <c r="T824" s="222" t="str">
        <f ca="1">IF(B824="","",IF(ISERROR(MATCH($J824,SorP!$B$1:$B$6230,0)),"",INDIRECT("'SorP'!$A$"&amp;MATCH($J824,SorP!$B$1:$B$6230,0))))</f>
        <v/>
      </c>
      <c r="U824" s="238"/>
      <c r="V824" s="270" t="e">
        <f>IF(C824="",NA(),MATCH($B824&amp;$C824,'Smelter Look-up'!$J:$J,0))</f>
        <v>#N/A</v>
      </c>
      <c r="W824" s="271"/>
      <c r="X824" s="271">
        <f t="shared" ca="1" si="136"/>
        <v>0</v>
      </c>
      <c r="Y824" s="271"/>
      <c r="Z824" s="271"/>
      <c r="AB824" s="273" t="str">
        <f t="shared" si="137"/>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ref="S825:S855" ca="1" si="138">IF(B825="","",IF(ISERROR(MATCH($E825,CL,0)),"Unknown",INDIRECT("'C'!$A$"&amp;MATCH($E825,CL,0)+1)))</f>
        <v/>
      </c>
      <c r="T825" s="222" t="str">
        <f ca="1">IF(B825="","",IF(ISERROR(MATCH($J825,SorP!$B$1:$B$6230,0)),"",INDIRECT("'SorP'!$A$"&amp;MATCH($J825,SorP!$B$1:$B$6230,0))))</f>
        <v/>
      </c>
      <c r="U825" s="238"/>
      <c r="V825" s="270" t="e">
        <f>IF(C825="",NA(),MATCH($B825&amp;$C825,'Smelter Look-up'!$J:$J,0))</f>
        <v>#N/A</v>
      </c>
      <c r="W825" s="271"/>
      <c r="X825" s="271">
        <f t="shared" ref="X825:X855" ca="1" si="139">IF(AND(C825="Smelter not listed",OR(LEN(D825)=0,LEN(E825)=0)),1,0)</f>
        <v>0</v>
      </c>
      <c r="Y825" s="271"/>
      <c r="Z825" s="271"/>
      <c r="AB825" s="273" t="str">
        <f t="shared" ref="AB825:AB855" si="140">B825&amp;C825</f>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38"/>
        <v/>
      </c>
      <c r="T826" s="222" t="str">
        <f ca="1">IF(B826="","",IF(ISERROR(MATCH($J826,SorP!$B$1:$B$6230,0)),"",INDIRECT("'SorP'!$A$"&amp;MATCH($J826,SorP!$B$1:$B$6230,0))))</f>
        <v/>
      </c>
      <c r="U826" s="238"/>
      <c r="V826" s="270" t="e">
        <f>IF(C826="",NA(),MATCH($B826&amp;$C826,'Smelter Look-up'!$J:$J,0))</f>
        <v>#N/A</v>
      </c>
      <c r="W826" s="271"/>
      <c r="X826" s="271">
        <f t="shared" ca="1" si="139"/>
        <v>0</v>
      </c>
      <c r="Y826" s="271"/>
      <c r="Z826" s="271"/>
      <c r="AB826" s="273" t="str">
        <f t="shared" si="140"/>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ca="1" si="138"/>
        <v/>
      </c>
      <c r="T827" s="222" t="str">
        <f ca="1">IF(B827="","",IF(ISERROR(MATCH($J827,SorP!$B$1:$B$6230,0)),"",INDIRECT("'SorP'!$A$"&amp;MATCH($J827,SorP!$B$1:$B$6230,0))))</f>
        <v/>
      </c>
      <c r="U827" s="238"/>
      <c r="V827" s="270" t="e">
        <f>IF(C827="",NA(),MATCH($B827&amp;$C827,'Smelter Look-up'!$J:$J,0))</f>
        <v>#N/A</v>
      </c>
      <c r="W827" s="271"/>
      <c r="X827" s="271">
        <f t="shared" ca="1" si="139"/>
        <v>0</v>
      </c>
      <c r="Y827" s="271"/>
      <c r="Z827" s="271"/>
      <c r="AB827" s="273" t="str">
        <f t="shared" si="140"/>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ca="1" si="138"/>
        <v/>
      </c>
      <c r="T828" s="222" t="str">
        <f ca="1">IF(B828="","",IF(ISERROR(MATCH($J828,SorP!$B$1:$B$6230,0)),"",INDIRECT("'SorP'!$A$"&amp;MATCH($J828,SorP!$B$1:$B$6230,0))))</f>
        <v/>
      </c>
      <c r="U828" s="238"/>
      <c r="V828" s="270" t="e">
        <f>IF(C828="",NA(),MATCH($B828&amp;$C828,'Smelter Look-up'!$J:$J,0))</f>
        <v>#N/A</v>
      </c>
      <c r="W828" s="271"/>
      <c r="X828" s="271">
        <f t="shared" ca="1" si="139"/>
        <v>0</v>
      </c>
      <c r="Y828" s="271"/>
      <c r="Z828" s="271"/>
      <c r="AB828" s="273" t="str">
        <f t="shared" si="140"/>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38"/>
        <v/>
      </c>
      <c r="T829" s="222" t="str">
        <f ca="1">IF(B829="","",IF(ISERROR(MATCH($J829,SorP!$B$1:$B$6230,0)),"",INDIRECT("'SorP'!$A$"&amp;MATCH($J829,SorP!$B$1:$B$6230,0))))</f>
        <v/>
      </c>
      <c r="U829" s="238"/>
      <c r="V829" s="270" t="e">
        <f>IF(C829="",NA(),MATCH($B829&amp;$C829,'Smelter Look-up'!$J:$J,0))</f>
        <v>#N/A</v>
      </c>
      <c r="W829" s="271"/>
      <c r="X829" s="271">
        <f t="shared" ca="1" si="139"/>
        <v>0</v>
      </c>
      <c r="Y829" s="271"/>
      <c r="Z829" s="271"/>
      <c r="AB829" s="273" t="str">
        <f t="shared" si="140"/>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38"/>
        <v/>
      </c>
      <c r="T830" s="222" t="str">
        <f ca="1">IF(B830="","",IF(ISERROR(MATCH($J830,SorP!$B$1:$B$6230,0)),"",INDIRECT("'SorP'!$A$"&amp;MATCH($J830,SorP!$B$1:$B$6230,0))))</f>
        <v/>
      </c>
      <c r="U830" s="238"/>
      <c r="V830" s="270" t="e">
        <f>IF(C830="",NA(),MATCH($B830&amp;$C830,'Smelter Look-up'!$J:$J,0))</f>
        <v>#N/A</v>
      </c>
      <c r="W830" s="271"/>
      <c r="X830" s="271">
        <f t="shared" ca="1" si="139"/>
        <v>0</v>
      </c>
      <c r="Y830" s="271"/>
      <c r="Z830" s="271"/>
      <c r="AB830" s="273" t="str">
        <f t="shared" si="140"/>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38"/>
        <v/>
      </c>
      <c r="T831" s="222" t="str">
        <f ca="1">IF(B831="","",IF(ISERROR(MATCH($J831,SorP!$B$1:$B$6230,0)),"",INDIRECT("'SorP'!$A$"&amp;MATCH($J831,SorP!$B$1:$B$6230,0))))</f>
        <v/>
      </c>
      <c r="U831" s="238"/>
      <c r="V831" s="270" t="e">
        <f>IF(C831="",NA(),MATCH($B831&amp;$C831,'Smelter Look-up'!$J:$J,0))</f>
        <v>#N/A</v>
      </c>
      <c r="W831" s="271"/>
      <c r="X831" s="271">
        <f t="shared" ca="1" si="139"/>
        <v>0</v>
      </c>
      <c r="Y831" s="271"/>
      <c r="Z831" s="271"/>
      <c r="AB831" s="273" t="str">
        <f t="shared" si="140"/>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38"/>
        <v/>
      </c>
      <c r="T832" s="222" t="str">
        <f ca="1">IF(B832="","",IF(ISERROR(MATCH($J832,SorP!$B$1:$B$6230,0)),"",INDIRECT("'SorP'!$A$"&amp;MATCH($J832,SorP!$B$1:$B$6230,0))))</f>
        <v/>
      </c>
      <c r="U832" s="238"/>
      <c r="V832" s="270" t="e">
        <f>IF(C832="",NA(),MATCH($B832&amp;$C832,'Smelter Look-up'!$J:$J,0))</f>
        <v>#N/A</v>
      </c>
      <c r="W832" s="271"/>
      <c r="X832" s="271">
        <f t="shared" ca="1" si="139"/>
        <v>0</v>
      </c>
      <c r="Y832" s="271"/>
      <c r="Z832" s="271"/>
      <c r="AB832" s="273" t="str">
        <f t="shared" si="140"/>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38"/>
        <v/>
      </c>
      <c r="T833" s="222" t="str">
        <f ca="1">IF(B833="","",IF(ISERROR(MATCH($J833,SorP!$B$1:$B$6230,0)),"",INDIRECT("'SorP'!$A$"&amp;MATCH($J833,SorP!$B$1:$B$6230,0))))</f>
        <v/>
      </c>
      <c r="U833" s="238"/>
      <c r="V833" s="270" t="e">
        <f>IF(C833="",NA(),MATCH($B833&amp;$C833,'Smelter Look-up'!$J:$J,0))</f>
        <v>#N/A</v>
      </c>
      <c r="W833" s="271"/>
      <c r="X833" s="271">
        <f t="shared" ca="1" si="139"/>
        <v>0</v>
      </c>
      <c r="Y833" s="271"/>
      <c r="Z833" s="271"/>
      <c r="AB833" s="273" t="str">
        <f t="shared" si="140"/>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38"/>
        <v/>
      </c>
      <c r="T834" s="222" t="str">
        <f ca="1">IF(B834="","",IF(ISERROR(MATCH($J834,SorP!$B$1:$B$6230,0)),"",INDIRECT("'SorP'!$A$"&amp;MATCH($J834,SorP!$B$1:$B$6230,0))))</f>
        <v/>
      </c>
      <c r="U834" s="238"/>
      <c r="V834" s="270" t="e">
        <f>IF(C834="",NA(),MATCH($B834&amp;$C834,'Smelter Look-up'!$J:$J,0))</f>
        <v>#N/A</v>
      </c>
      <c r="W834" s="271"/>
      <c r="X834" s="271">
        <f t="shared" ca="1" si="139"/>
        <v>0</v>
      </c>
      <c r="Y834" s="271"/>
      <c r="Z834" s="271"/>
      <c r="AB834" s="273" t="str">
        <f t="shared" si="140"/>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38"/>
        <v/>
      </c>
      <c r="T835" s="222" t="str">
        <f ca="1">IF(B835="","",IF(ISERROR(MATCH($J835,SorP!$B$1:$B$6230,0)),"",INDIRECT("'SorP'!$A$"&amp;MATCH($J835,SorP!$B$1:$B$6230,0))))</f>
        <v/>
      </c>
      <c r="U835" s="238"/>
      <c r="V835" s="270" t="e">
        <f>IF(C835="",NA(),MATCH($B835&amp;$C835,'Smelter Look-up'!$J:$J,0))</f>
        <v>#N/A</v>
      </c>
      <c r="W835" s="271"/>
      <c r="X835" s="271">
        <f t="shared" ca="1" si="139"/>
        <v>0</v>
      </c>
      <c r="Y835" s="271"/>
      <c r="Z835" s="271"/>
      <c r="AB835" s="273" t="str">
        <f t="shared" si="140"/>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38"/>
        <v/>
      </c>
      <c r="T836" s="222" t="str">
        <f ca="1">IF(B836="","",IF(ISERROR(MATCH($J836,SorP!$B$1:$B$6230,0)),"",INDIRECT("'SorP'!$A$"&amp;MATCH($J836,SorP!$B$1:$B$6230,0))))</f>
        <v/>
      </c>
      <c r="U836" s="238"/>
      <c r="V836" s="270" t="e">
        <f>IF(C836="",NA(),MATCH($B836&amp;$C836,'Smelter Look-up'!$J:$J,0))</f>
        <v>#N/A</v>
      </c>
      <c r="W836" s="271"/>
      <c r="X836" s="271">
        <f t="shared" ca="1" si="139"/>
        <v>0</v>
      </c>
      <c r="Y836" s="271"/>
      <c r="Z836" s="271"/>
      <c r="AB836" s="273" t="str">
        <f t="shared" si="140"/>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38"/>
        <v/>
      </c>
      <c r="T837" s="222" t="str">
        <f ca="1">IF(B837="","",IF(ISERROR(MATCH($J837,SorP!$B$1:$B$6230,0)),"",INDIRECT("'SorP'!$A$"&amp;MATCH($J837,SorP!$B$1:$B$6230,0))))</f>
        <v/>
      </c>
      <c r="U837" s="238"/>
      <c r="V837" s="270" t="e">
        <f>IF(C837="",NA(),MATCH($B837&amp;$C837,'Smelter Look-up'!$J:$J,0))</f>
        <v>#N/A</v>
      </c>
      <c r="W837" s="271"/>
      <c r="X837" s="271">
        <f t="shared" ca="1" si="139"/>
        <v>0</v>
      </c>
      <c r="Y837" s="271"/>
      <c r="Z837" s="271"/>
      <c r="AB837" s="273" t="str">
        <f t="shared" si="140"/>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38"/>
        <v/>
      </c>
      <c r="T838" s="222" t="str">
        <f ca="1">IF(B838="","",IF(ISERROR(MATCH($J838,SorP!$B$1:$B$6230,0)),"",INDIRECT("'SorP'!$A$"&amp;MATCH($J838,SorP!$B$1:$B$6230,0))))</f>
        <v/>
      </c>
      <c r="U838" s="238"/>
      <c r="V838" s="270" t="e">
        <f>IF(C838="",NA(),MATCH($B838&amp;$C838,'Smelter Look-up'!$J:$J,0))</f>
        <v>#N/A</v>
      </c>
      <c r="W838" s="271"/>
      <c r="X838" s="271">
        <f t="shared" ca="1" si="139"/>
        <v>0</v>
      </c>
      <c r="Y838" s="271"/>
      <c r="Z838" s="271"/>
      <c r="AB838" s="273" t="str">
        <f t="shared" si="140"/>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38"/>
        <v/>
      </c>
      <c r="T839" s="222" t="str">
        <f ca="1">IF(B839="","",IF(ISERROR(MATCH($J839,SorP!$B$1:$B$6230,0)),"",INDIRECT("'SorP'!$A$"&amp;MATCH($J839,SorP!$B$1:$B$6230,0))))</f>
        <v/>
      </c>
      <c r="U839" s="238"/>
      <c r="V839" s="270" t="e">
        <f>IF(C839="",NA(),MATCH($B839&amp;$C839,'Smelter Look-up'!$J:$J,0))</f>
        <v>#N/A</v>
      </c>
      <c r="W839" s="271"/>
      <c r="X839" s="271">
        <f t="shared" ca="1" si="139"/>
        <v>0</v>
      </c>
      <c r="Y839" s="271"/>
      <c r="Z839" s="271"/>
      <c r="AB839" s="273" t="str">
        <f t="shared" si="140"/>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38"/>
        <v/>
      </c>
      <c r="T840" s="222" t="str">
        <f ca="1">IF(B840="","",IF(ISERROR(MATCH($J840,SorP!$B$1:$B$6230,0)),"",INDIRECT("'SorP'!$A$"&amp;MATCH($J840,SorP!$B$1:$B$6230,0))))</f>
        <v/>
      </c>
      <c r="U840" s="238"/>
      <c r="V840" s="270" t="e">
        <f>IF(C840="",NA(),MATCH($B840&amp;$C840,'Smelter Look-up'!$J:$J,0))</f>
        <v>#N/A</v>
      </c>
      <c r="W840" s="271"/>
      <c r="X840" s="271">
        <f t="shared" ca="1" si="139"/>
        <v>0</v>
      </c>
      <c r="Y840" s="271"/>
      <c r="Z840" s="271"/>
      <c r="AB840" s="273" t="str">
        <f t="shared" si="140"/>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38"/>
        <v/>
      </c>
      <c r="T841" s="222" t="str">
        <f ca="1">IF(B841="","",IF(ISERROR(MATCH($J841,SorP!$B$1:$B$6230,0)),"",INDIRECT("'SorP'!$A$"&amp;MATCH($J841,SorP!$B$1:$B$6230,0))))</f>
        <v/>
      </c>
      <c r="U841" s="238"/>
      <c r="V841" s="270" t="e">
        <f>IF(C841="",NA(),MATCH($B841&amp;$C841,'Smelter Look-up'!$J:$J,0))</f>
        <v>#N/A</v>
      </c>
      <c r="W841" s="271"/>
      <c r="X841" s="271">
        <f t="shared" ca="1" si="139"/>
        <v>0</v>
      </c>
      <c r="Y841" s="271"/>
      <c r="Z841" s="271"/>
      <c r="AB841" s="273" t="str">
        <f t="shared" si="140"/>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38"/>
        <v/>
      </c>
      <c r="T842" s="222" t="str">
        <f ca="1">IF(B842="","",IF(ISERROR(MATCH($J842,SorP!$B$1:$B$6230,0)),"",INDIRECT("'SorP'!$A$"&amp;MATCH($J842,SorP!$B$1:$B$6230,0))))</f>
        <v/>
      </c>
      <c r="U842" s="238"/>
      <c r="V842" s="270" t="e">
        <f>IF(C842="",NA(),MATCH($B842&amp;$C842,'Smelter Look-up'!$J:$J,0))</f>
        <v>#N/A</v>
      </c>
      <c r="W842" s="271"/>
      <c r="X842" s="271">
        <f t="shared" ca="1" si="139"/>
        <v>0</v>
      </c>
      <c r="Y842" s="271"/>
      <c r="Z842" s="271"/>
      <c r="AB842" s="273" t="str">
        <f t="shared" si="140"/>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38"/>
        <v/>
      </c>
      <c r="T843" s="222" t="str">
        <f ca="1">IF(B843="","",IF(ISERROR(MATCH($J843,SorP!$B$1:$B$6230,0)),"",INDIRECT("'SorP'!$A$"&amp;MATCH($J843,SorP!$B$1:$B$6230,0))))</f>
        <v/>
      </c>
      <c r="U843" s="238"/>
      <c r="V843" s="270" t="e">
        <f>IF(C843="",NA(),MATCH($B843&amp;$C843,'Smelter Look-up'!$J:$J,0))</f>
        <v>#N/A</v>
      </c>
      <c r="W843" s="271"/>
      <c r="X843" s="271">
        <f t="shared" ca="1" si="139"/>
        <v>0</v>
      </c>
      <c r="Y843" s="271"/>
      <c r="Z843" s="271"/>
      <c r="AB843" s="273" t="str">
        <f t="shared" si="140"/>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38"/>
        <v/>
      </c>
      <c r="T844" s="222" t="str">
        <f ca="1">IF(B844="","",IF(ISERROR(MATCH($J844,SorP!$B$1:$B$6230,0)),"",INDIRECT("'SorP'!$A$"&amp;MATCH($J844,SorP!$B$1:$B$6230,0))))</f>
        <v/>
      </c>
      <c r="U844" s="238"/>
      <c r="V844" s="270" t="e">
        <f>IF(C844="",NA(),MATCH($B844&amp;$C844,'Smelter Look-up'!$J:$J,0))</f>
        <v>#N/A</v>
      </c>
      <c r="W844" s="271"/>
      <c r="X844" s="271">
        <f t="shared" ca="1" si="139"/>
        <v>0</v>
      </c>
      <c r="Y844" s="271"/>
      <c r="Z844" s="271"/>
      <c r="AB844" s="273" t="str">
        <f t="shared" si="140"/>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38"/>
        <v/>
      </c>
      <c r="T845" s="222" t="str">
        <f ca="1">IF(B845="","",IF(ISERROR(MATCH($J845,SorP!$B$1:$B$6230,0)),"",INDIRECT("'SorP'!$A$"&amp;MATCH($J845,SorP!$B$1:$B$6230,0))))</f>
        <v/>
      </c>
      <c r="U845" s="238"/>
      <c r="V845" s="270" t="e">
        <f>IF(C845="",NA(),MATCH($B845&amp;$C845,'Smelter Look-up'!$J:$J,0))</f>
        <v>#N/A</v>
      </c>
      <c r="W845" s="271"/>
      <c r="X845" s="271">
        <f t="shared" ca="1" si="139"/>
        <v>0</v>
      </c>
      <c r="Y845" s="271"/>
      <c r="Z845" s="271"/>
      <c r="AB845" s="273" t="str">
        <f t="shared" si="140"/>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38"/>
        <v/>
      </c>
      <c r="T846" s="222" t="str">
        <f ca="1">IF(B846="","",IF(ISERROR(MATCH($J846,SorP!$B$1:$B$6230,0)),"",INDIRECT("'SorP'!$A$"&amp;MATCH($J846,SorP!$B$1:$B$6230,0))))</f>
        <v/>
      </c>
      <c r="U846" s="238"/>
      <c r="V846" s="270" t="e">
        <f>IF(C846="",NA(),MATCH($B846&amp;$C846,'Smelter Look-up'!$J:$J,0))</f>
        <v>#N/A</v>
      </c>
      <c r="W846" s="271"/>
      <c r="X846" s="271">
        <f t="shared" ca="1" si="139"/>
        <v>0</v>
      </c>
      <c r="Y846" s="271"/>
      <c r="Z846" s="271"/>
      <c r="AB846" s="273" t="str">
        <f t="shared" si="140"/>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38"/>
        <v/>
      </c>
      <c r="T847" s="222" t="str">
        <f ca="1">IF(B847="","",IF(ISERROR(MATCH($J847,SorP!$B$1:$B$6230,0)),"",INDIRECT("'SorP'!$A$"&amp;MATCH($J847,SorP!$B$1:$B$6230,0))))</f>
        <v/>
      </c>
      <c r="U847" s="238"/>
      <c r="V847" s="270" t="e">
        <f>IF(C847="",NA(),MATCH($B847&amp;$C847,'Smelter Look-up'!$J:$J,0))</f>
        <v>#N/A</v>
      </c>
      <c r="W847" s="271"/>
      <c r="X847" s="271">
        <f t="shared" ca="1" si="139"/>
        <v>0</v>
      </c>
      <c r="Y847" s="271"/>
      <c r="Z847" s="271"/>
      <c r="AB847" s="273" t="str">
        <f t="shared" si="140"/>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38"/>
        <v/>
      </c>
      <c r="T848" s="222" t="str">
        <f ca="1">IF(B848="","",IF(ISERROR(MATCH($J848,SorP!$B$1:$B$6230,0)),"",INDIRECT("'SorP'!$A$"&amp;MATCH($J848,SorP!$B$1:$B$6230,0))))</f>
        <v/>
      </c>
      <c r="U848" s="238"/>
      <c r="V848" s="270" t="e">
        <f>IF(C848="",NA(),MATCH($B848&amp;$C848,'Smelter Look-up'!$J:$J,0))</f>
        <v>#N/A</v>
      </c>
      <c r="W848" s="271"/>
      <c r="X848" s="271">
        <f t="shared" ca="1" si="139"/>
        <v>0</v>
      </c>
      <c r="Y848" s="271"/>
      <c r="Z848" s="271"/>
      <c r="AB848" s="273" t="str">
        <f t="shared" si="140"/>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38"/>
        <v/>
      </c>
      <c r="T849" s="222" t="str">
        <f ca="1">IF(B849="","",IF(ISERROR(MATCH($J849,SorP!$B$1:$B$6230,0)),"",INDIRECT("'SorP'!$A$"&amp;MATCH($J849,SorP!$B$1:$B$6230,0))))</f>
        <v/>
      </c>
      <c r="U849" s="238"/>
      <c r="V849" s="270" t="e">
        <f>IF(C849="",NA(),MATCH($B849&amp;$C849,'Smelter Look-up'!$J:$J,0))</f>
        <v>#N/A</v>
      </c>
      <c r="W849" s="271"/>
      <c r="X849" s="271">
        <f t="shared" ca="1" si="139"/>
        <v>0</v>
      </c>
      <c r="Y849" s="271"/>
      <c r="Z849" s="271"/>
      <c r="AB849" s="273" t="str">
        <f t="shared" si="140"/>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38"/>
        <v/>
      </c>
      <c r="T850" s="222" t="str">
        <f ca="1">IF(B850="","",IF(ISERROR(MATCH($J850,SorP!$B$1:$B$6230,0)),"",INDIRECT("'SorP'!$A$"&amp;MATCH($J850,SorP!$B$1:$B$6230,0))))</f>
        <v/>
      </c>
      <c r="U850" s="238"/>
      <c r="V850" s="270" t="e">
        <f>IF(C850="",NA(),MATCH($B850&amp;$C850,'Smelter Look-up'!$J:$J,0))</f>
        <v>#N/A</v>
      </c>
      <c r="W850" s="271"/>
      <c r="X850" s="271">
        <f t="shared" ca="1" si="139"/>
        <v>0</v>
      </c>
      <c r="Y850" s="271"/>
      <c r="Z850" s="271"/>
      <c r="AB850" s="273" t="str">
        <f t="shared" si="140"/>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38"/>
        <v/>
      </c>
      <c r="T851" s="222" t="str">
        <f ca="1">IF(B851="","",IF(ISERROR(MATCH($J851,SorP!$B$1:$B$6230,0)),"",INDIRECT("'SorP'!$A$"&amp;MATCH($J851,SorP!$B$1:$B$6230,0))))</f>
        <v/>
      </c>
      <c r="U851" s="238"/>
      <c r="V851" s="270" t="e">
        <f>IF(C851="",NA(),MATCH($B851&amp;$C851,'Smelter Look-up'!$J:$J,0))</f>
        <v>#N/A</v>
      </c>
      <c r="W851" s="271"/>
      <c r="X851" s="271">
        <f t="shared" ca="1" si="139"/>
        <v>0</v>
      </c>
      <c r="Y851" s="271"/>
      <c r="Z851" s="271"/>
      <c r="AB851" s="273" t="str">
        <f t="shared" si="140"/>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38"/>
        <v/>
      </c>
      <c r="T852" s="222" t="str">
        <f ca="1">IF(B852="","",IF(ISERROR(MATCH($J852,SorP!$B$1:$B$6230,0)),"",INDIRECT("'SorP'!$A$"&amp;MATCH($J852,SorP!$B$1:$B$6230,0))))</f>
        <v/>
      </c>
      <c r="U852" s="238"/>
      <c r="V852" s="270" t="e">
        <f>IF(C852="",NA(),MATCH($B852&amp;$C852,'Smelter Look-up'!$J:$J,0))</f>
        <v>#N/A</v>
      </c>
      <c r="W852" s="271"/>
      <c r="X852" s="271">
        <f t="shared" ca="1" si="139"/>
        <v>0</v>
      </c>
      <c r="Y852" s="271"/>
      <c r="Z852" s="271"/>
      <c r="AB852" s="273" t="str">
        <f t="shared" si="140"/>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38"/>
        <v/>
      </c>
      <c r="T853" s="222" t="str">
        <f ca="1">IF(B853="","",IF(ISERROR(MATCH($J853,SorP!$B$1:$B$6230,0)),"",INDIRECT("'SorP'!$A$"&amp;MATCH($J853,SorP!$B$1:$B$6230,0))))</f>
        <v/>
      </c>
      <c r="U853" s="238"/>
      <c r="V853" s="270" t="e">
        <f>IF(C853="",NA(),MATCH($B853&amp;$C853,'Smelter Look-up'!$J:$J,0))</f>
        <v>#N/A</v>
      </c>
      <c r="W853" s="271"/>
      <c r="X853" s="271">
        <f t="shared" ca="1" si="139"/>
        <v>0</v>
      </c>
      <c r="Y853" s="271"/>
      <c r="Z853" s="271"/>
      <c r="AB853" s="273" t="str">
        <f t="shared" si="140"/>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38"/>
        <v/>
      </c>
      <c r="T854" s="222" t="str">
        <f ca="1">IF(B854="","",IF(ISERROR(MATCH($J854,SorP!$B$1:$B$6230,0)),"",INDIRECT("'SorP'!$A$"&amp;MATCH($J854,SorP!$B$1:$B$6230,0))))</f>
        <v/>
      </c>
      <c r="U854" s="238"/>
      <c r="V854" s="270" t="e">
        <f>IF(C854="",NA(),MATCH($B854&amp;$C854,'Smelter Look-up'!$J:$J,0))</f>
        <v>#N/A</v>
      </c>
      <c r="W854" s="271"/>
      <c r="X854" s="271">
        <f t="shared" ca="1" si="139"/>
        <v>0</v>
      </c>
      <c r="Y854" s="271"/>
      <c r="Z854" s="271"/>
      <c r="AB854" s="273" t="str">
        <f t="shared" si="140"/>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38"/>
        <v/>
      </c>
      <c r="T855" s="222" t="str">
        <f ca="1">IF(B855="","",IF(ISERROR(MATCH($J855,SorP!$B$1:$B$6230,0)),"",INDIRECT("'SorP'!$A$"&amp;MATCH($J855,SorP!$B$1:$B$6230,0))))</f>
        <v/>
      </c>
      <c r="U855" s="238"/>
      <c r="V855" s="270" t="e">
        <f>IF(C855="",NA(),MATCH($B855&amp;$C855,'Smelter Look-up'!$J:$J,0))</f>
        <v>#N/A</v>
      </c>
      <c r="W855" s="271"/>
      <c r="X855" s="271">
        <f t="shared" ca="1" si="139"/>
        <v>0</v>
      </c>
      <c r="Y855" s="271"/>
      <c r="Z855" s="271"/>
      <c r="AB855" s="273" t="str">
        <f t="shared" si="140"/>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ref="S856" ca="1" si="141">IF(B856="","",IF(ISERROR(MATCH($E856,CL,0)),"Unknown",INDIRECT("'C'!$A$"&amp;MATCH($E856,CL,0)+1)))</f>
        <v/>
      </c>
      <c r="T856" s="222" t="str">
        <f ca="1">IF(B856="","",IF(ISERROR(MATCH($J856,SorP!$B$1:$B$6230,0)),"",INDIRECT("'SorP'!$A$"&amp;MATCH($J856,SorP!$B$1:$B$6230,0))))</f>
        <v/>
      </c>
      <c r="U856" s="238"/>
      <c r="V856" s="270" t="e">
        <f>IF(C856="",NA(),MATCH($B856&amp;$C856,'Smelter Look-up'!$J:$J,0))</f>
        <v>#N/A</v>
      </c>
      <c r="W856" s="271"/>
      <c r="X856" s="271">
        <f t="shared" ref="X856" ca="1" si="142">IF(AND(C856="Smelter not listed",OR(LEN(D856)=0,LEN(E856)=0)),1,0)</f>
        <v>0</v>
      </c>
      <c r="Y856" s="271"/>
      <c r="Z856" s="271"/>
      <c r="AB856" s="273" t="str">
        <f t="shared" ref="AB856" si="143">B856&amp;C856</f>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ref="S857:S888" ca="1" si="144">IF(B857="","",IF(ISERROR(MATCH($E857,CL,0)),"Unknown",INDIRECT("'C'!$A$"&amp;MATCH($E857,CL,0)+1)))</f>
        <v/>
      </c>
      <c r="T857" s="222" t="str">
        <f ca="1">IF(B857="","",IF(ISERROR(MATCH($J857,SorP!$B$1:$B$6230,0)),"",INDIRECT("'SorP'!$A$"&amp;MATCH($J857,SorP!$B$1:$B$6230,0))))</f>
        <v/>
      </c>
      <c r="U857" s="238"/>
      <c r="V857" s="270" t="e">
        <f>IF(C857="",NA(),MATCH($B857&amp;$C857,'Smelter Look-up'!$J:$J,0))</f>
        <v>#N/A</v>
      </c>
      <c r="W857" s="271"/>
      <c r="X857" s="271">
        <f t="shared" ref="X857:X888" ca="1" si="145">IF(AND(C857="Smelter not listed",OR(LEN(D857)=0,LEN(E857)=0)),1,0)</f>
        <v>0</v>
      </c>
      <c r="Y857" s="271"/>
      <c r="Z857" s="271"/>
      <c r="AB857" s="273" t="str">
        <f t="shared" ref="AB857:AB888" si="146">B857&amp;C857</f>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44"/>
        <v/>
      </c>
      <c r="T858" s="222" t="str">
        <f ca="1">IF(B858="","",IF(ISERROR(MATCH($J858,SorP!$B$1:$B$6230,0)),"",INDIRECT("'SorP'!$A$"&amp;MATCH($J858,SorP!$B$1:$B$6230,0))))</f>
        <v/>
      </c>
      <c r="U858" s="238"/>
      <c r="V858" s="270" t="e">
        <f>IF(C858="",NA(),MATCH($B858&amp;$C858,'Smelter Look-up'!$J:$J,0))</f>
        <v>#N/A</v>
      </c>
      <c r="W858" s="271"/>
      <c r="X858" s="271">
        <f t="shared" ca="1" si="145"/>
        <v>0</v>
      </c>
      <c r="Y858" s="271"/>
      <c r="Z858" s="271"/>
      <c r="AB858" s="273" t="str">
        <f t="shared" si="146"/>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44"/>
        <v/>
      </c>
      <c r="T859" s="222" t="str">
        <f ca="1">IF(B859="","",IF(ISERROR(MATCH($J859,SorP!$B$1:$B$6230,0)),"",INDIRECT("'SorP'!$A$"&amp;MATCH($J859,SorP!$B$1:$B$6230,0))))</f>
        <v/>
      </c>
      <c r="U859" s="238"/>
      <c r="V859" s="270" t="e">
        <f>IF(C859="",NA(),MATCH($B859&amp;$C859,'Smelter Look-up'!$J:$J,0))</f>
        <v>#N/A</v>
      </c>
      <c r="W859" s="271"/>
      <c r="X859" s="271">
        <f t="shared" ca="1" si="145"/>
        <v>0</v>
      </c>
      <c r="Y859" s="271"/>
      <c r="Z859" s="271"/>
      <c r="AB859" s="273" t="str">
        <f t="shared" si="146"/>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ca="1" si="144"/>
        <v/>
      </c>
      <c r="T860" s="222" t="str">
        <f ca="1">IF(B860="","",IF(ISERROR(MATCH($J860,SorP!$B$1:$B$6230,0)),"",INDIRECT("'SorP'!$A$"&amp;MATCH($J860,SorP!$B$1:$B$6230,0))))</f>
        <v/>
      </c>
      <c r="U860" s="238"/>
      <c r="V860" s="270" t="e">
        <f>IF(C860="",NA(),MATCH($B860&amp;$C860,'Smelter Look-up'!$J:$J,0))</f>
        <v>#N/A</v>
      </c>
      <c r="W860" s="271"/>
      <c r="X860" s="271">
        <f t="shared" ca="1" si="145"/>
        <v>0</v>
      </c>
      <c r="Y860" s="271"/>
      <c r="Z860" s="271"/>
      <c r="AB860" s="273" t="str">
        <f t="shared" si="146"/>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44"/>
        <v/>
      </c>
      <c r="T861" s="222" t="str">
        <f ca="1">IF(B861="","",IF(ISERROR(MATCH($J861,SorP!$B$1:$B$6230,0)),"",INDIRECT("'SorP'!$A$"&amp;MATCH($J861,SorP!$B$1:$B$6230,0))))</f>
        <v/>
      </c>
      <c r="U861" s="238"/>
      <c r="V861" s="270" t="e">
        <f>IF(C861="",NA(),MATCH($B861&amp;$C861,'Smelter Look-up'!$J:$J,0))</f>
        <v>#N/A</v>
      </c>
      <c r="W861" s="271"/>
      <c r="X861" s="271">
        <f t="shared" ca="1" si="145"/>
        <v>0</v>
      </c>
      <c r="Y861" s="271"/>
      <c r="Z861" s="271"/>
      <c r="AB861" s="273" t="str">
        <f t="shared" si="146"/>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44"/>
        <v/>
      </c>
      <c r="T862" s="222" t="str">
        <f ca="1">IF(B862="","",IF(ISERROR(MATCH($J862,SorP!$B$1:$B$6230,0)),"",INDIRECT("'SorP'!$A$"&amp;MATCH($J862,SorP!$B$1:$B$6230,0))))</f>
        <v/>
      </c>
      <c r="U862" s="238"/>
      <c r="V862" s="270" t="e">
        <f>IF(C862="",NA(),MATCH($B862&amp;$C862,'Smelter Look-up'!$J:$J,0))</f>
        <v>#N/A</v>
      </c>
      <c r="W862" s="271"/>
      <c r="X862" s="271">
        <f t="shared" ca="1" si="145"/>
        <v>0</v>
      </c>
      <c r="Y862" s="271"/>
      <c r="Z862" s="271"/>
      <c r="AB862" s="273" t="str">
        <f t="shared" si="146"/>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44"/>
        <v/>
      </c>
      <c r="T863" s="222" t="str">
        <f ca="1">IF(B863="","",IF(ISERROR(MATCH($J863,SorP!$B$1:$B$6230,0)),"",INDIRECT("'SorP'!$A$"&amp;MATCH($J863,SorP!$B$1:$B$6230,0))))</f>
        <v/>
      </c>
      <c r="U863" s="238"/>
      <c r="V863" s="270" t="e">
        <f>IF(C863="",NA(),MATCH($B863&amp;$C863,'Smelter Look-up'!$J:$J,0))</f>
        <v>#N/A</v>
      </c>
      <c r="W863" s="271"/>
      <c r="X863" s="271">
        <f t="shared" ca="1" si="145"/>
        <v>0</v>
      </c>
      <c r="Y863" s="271"/>
      <c r="Z863" s="271"/>
      <c r="AB863" s="273" t="str">
        <f t="shared" si="146"/>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44"/>
        <v/>
      </c>
      <c r="T864" s="222" t="str">
        <f ca="1">IF(B864="","",IF(ISERROR(MATCH($J864,SorP!$B$1:$B$6230,0)),"",INDIRECT("'SorP'!$A$"&amp;MATCH($J864,SorP!$B$1:$B$6230,0))))</f>
        <v/>
      </c>
      <c r="U864" s="238"/>
      <c r="V864" s="270" t="e">
        <f>IF(C864="",NA(),MATCH($B864&amp;$C864,'Smelter Look-up'!$J:$J,0))</f>
        <v>#N/A</v>
      </c>
      <c r="W864" s="271"/>
      <c r="X864" s="271">
        <f t="shared" ca="1" si="145"/>
        <v>0</v>
      </c>
      <c r="Y864" s="271"/>
      <c r="Z864" s="271"/>
      <c r="AB864" s="273" t="str">
        <f t="shared" si="146"/>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44"/>
        <v/>
      </c>
      <c r="T865" s="222" t="str">
        <f ca="1">IF(B865="","",IF(ISERROR(MATCH($J865,SorP!$B$1:$B$6230,0)),"",INDIRECT("'SorP'!$A$"&amp;MATCH($J865,SorP!$B$1:$B$6230,0))))</f>
        <v/>
      </c>
      <c r="U865" s="238"/>
      <c r="V865" s="270" t="e">
        <f>IF(C865="",NA(),MATCH($B865&amp;$C865,'Smelter Look-up'!$J:$J,0))</f>
        <v>#N/A</v>
      </c>
      <c r="W865" s="271"/>
      <c r="X865" s="271">
        <f t="shared" ca="1" si="145"/>
        <v>0</v>
      </c>
      <c r="Y865" s="271"/>
      <c r="Z865" s="271"/>
      <c r="AB865" s="273" t="str">
        <f t="shared" si="146"/>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44"/>
        <v/>
      </c>
      <c r="T866" s="222" t="str">
        <f ca="1">IF(B866="","",IF(ISERROR(MATCH($J866,SorP!$B$1:$B$6230,0)),"",INDIRECT("'SorP'!$A$"&amp;MATCH($J866,SorP!$B$1:$B$6230,0))))</f>
        <v/>
      </c>
      <c r="U866" s="238"/>
      <c r="V866" s="270" t="e">
        <f>IF(C866="",NA(),MATCH($B866&amp;$C866,'Smelter Look-up'!$J:$J,0))</f>
        <v>#N/A</v>
      </c>
      <c r="W866" s="271"/>
      <c r="X866" s="271">
        <f t="shared" ca="1" si="145"/>
        <v>0</v>
      </c>
      <c r="Y866" s="271"/>
      <c r="Z866" s="271"/>
      <c r="AB866" s="273" t="str">
        <f t="shared" si="146"/>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44"/>
        <v/>
      </c>
      <c r="T867" s="222" t="str">
        <f ca="1">IF(B867="","",IF(ISERROR(MATCH($J867,SorP!$B$1:$B$6230,0)),"",INDIRECT("'SorP'!$A$"&amp;MATCH($J867,SorP!$B$1:$B$6230,0))))</f>
        <v/>
      </c>
      <c r="U867" s="238"/>
      <c r="V867" s="270" t="e">
        <f>IF(C867="",NA(),MATCH($B867&amp;$C867,'Smelter Look-up'!$J:$J,0))</f>
        <v>#N/A</v>
      </c>
      <c r="W867" s="271"/>
      <c r="X867" s="271">
        <f t="shared" ca="1" si="145"/>
        <v>0</v>
      </c>
      <c r="Y867" s="271"/>
      <c r="Z867" s="271"/>
      <c r="AB867" s="273" t="str">
        <f t="shared" si="146"/>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44"/>
        <v/>
      </c>
      <c r="T868" s="222" t="str">
        <f ca="1">IF(B868="","",IF(ISERROR(MATCH($J868,SorP!$B$1:$B$6230,0)),"",INDIRECT("'SorP'!$A$"&amp;MATCH($J868,SorP!$B$1:$B$6230,0))))</f>
        <v/>
      </c>
      <c r="U868" s="238"/>
      <c r="V868" s="270" t="e">
        <f>IF(C868="",NA(),MATCH($B868&amp;$C868,'Smelter Look-up'!$J:$J,0))</f>
        <v>#N/A</v>
      </c>
      <c r="W868" s="271"/>
      <c r="X868" s="271">
        <f t="shared" ca="1" si="145"/>
        <v>0</v>
      </c>
      <c r="Y868" s="271"/>
      <c r="Z868" s="271"/>
      <c r="AB868" s="273" t="str">
        <f t="shared" si="146"/>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44"/>
        <v/>
      </c>
      <c r="T869" s="222" t="str">
        <f ca="1">IF(B869="","",IF(ISERROR(MATCH($J869,SorP!$B$1:$B$6230,0)),"",INDIRECT("'SorP'!$A$"&amp;MATCH($J869,SorP!$B$1:$B$6230,0))))</f>
        <v/>
      </c>
      <c r="U869" s="238"/>
      <c r="V869" s="270" t="e">
        <f>IF(C869="",NA(),MATCH($B869&amp;$C869,'Smelter Look-up'!$J:$J,0))</f>
        <v>#N/A</v>
      </c>
      <c r="W869" s="271"/>
      <c r="X869" s="271">
        <f t="shared" ca="1" si="145"/>
        <v>0</v>
      </c>
      <c r="Y869" s="271"/>
      <c r="Z869" s="271"/>
      <c r="AB869" s="273" t="str">
        <f t="shared" si="146"/>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44"/>
        <v/>
      </c>
      <c r="T870" s="222" t="str">
        <f ca="1">IF(B870="","",IF(ISERROR(MATCH($J870,SorP!$B$1:$B$6230,0)),"",INDIRECT("'SorP'!$A$"&amp;MATCH($J870,SorP!$B$1:$B$6230,0))))</f>
        <v/>
      </c>
      <c r="U870" s="238"/>
      <c r="V870" s="270" t="e">
        <f>IF(C870="",NA(),MATCH($B870&amp;$C870,'Smelter Look-up'!$J:$J,0))</f>
        <v>#N/A</v>
      </c>
      <c r="W870" s="271"/>
      <c r="X870" s="271">
        <f t="shared" ca="1" si="145"/>
        <v>0</v>
      </c>
      <c r="Y870" s="271"/>
      <c r="Z870" s="271"/>
      <c r="AB870" s="273" t="str">
        <f t="shared" si="146"/>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44"/>
        <v/>
      </c>
      <c r="T871" s="222" t="str">
        <f ca="1">IF(B871="","",IF(ISERROR(MATCH($J871,SorP!$B$1:$B$6230,0)),"",INDIRECT("'SorP'!$A$"&amp;MATCH($J871,SorP!$B$1:$B$6230,0))))</f>
        <v/>
      </c>
      <c r="U871" s="238"/>
      <c r="V871" s="270" t="e">
        <f>IF(C871="",NA(),MATCH($B871&amp;$C871,'Smelter Look-up'!$J:$J,0))</f>
        <v>#N/A</v>
      </c>
      <c r="W871" s="271"/>
      <c r="X871" s="271">
        <f t="shared" ca="1" si="145"/>
        <v>0</v>
      </c>
      <c r="Y871" s="271"/>
      <c r="Z871" s="271"/>
      <c r="AB871" s="273" t="str">
        <f t="shared" si="146"/>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44"/>
        <v/>
      </c>
      <c r="T872" s="222" t="str">
        <f ca="1">IF(B872="","",IF(ISERROR(MATCH($J872,SorP!$B$1:$B$6230,0)),"",INDIRECT("'SorP'!$A$"&amp;MATCH($J872,SorP!$B$1:$B$6230,0))))</f>
        <v/>
      </c>
      <c r="U872" s="238"/>
      <c r="V872" s="270" t="e">
        <f>IF(C872="",NA(),MATCH($B872&amp;$C872,'Smelter Look-up'!$J:$J,0))</f>
        <v>#N/A</v>
      </c>
      <c r="W872" s="271"/>
      <c r="X872" s="271">
        <f t="shared" ca="1" si="145"/>
        <v>0</v>
      </c>
      <c r="Y872" s="271"/>
      <c r="Z872" s="271"/>
      <c r="AB872" s="273" t="str">
        <f t="shared" si="146"/>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44"/>
        <v/>
      </c>
      <c r="T873" s="222" t="str">
        <f ca="1">IF(B873="","",IF(ISERROR(MATCH($J873,SorP!$B$1:$B$6230,0)),"",INDIRECT("'SorP'!$A$"&amp;MATCH($J873,SorP!$B$1:$B$6230,0))))</f>
        <v/>
      </c>
      <c r="U873" s="238"/>
      <c r="V873" s="270" t="e">
        <f>IF(C873="",NA(),MATCH($B873&amp;$C873,'Smelter Look-up'!$J:$J,0))</f>
        <v>#N/A</v>
      </c>
      <c r="W873" s="271"/>
      <c r="X873" s="271">
        <f t="shared" ca="1" si="145"/>
        <v>0</v>
      </c>
      <c r="Y873" s="271"/>
      <c r="Z873" s="271"/>
      <c r="AB873" s="273" t="str">
        <f t="shared" si="146"/>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44"/>
        <v/>
      </c>
      <c r="T874" s="222" t="str">
        <f ca="1">IF(B874="","",IF(ISERROR(MATCH($J874,SorP!$B$1:$B$6230,0)),"",INDIRECT("'SorP'!$A$"&amp;MATCH($J874,SorP!$B$1:$B$6230,0))))</f>
        <v/>
      </c>
      <c r="U874" s="238"/>
      <c r="V874" s="270" t="e">
        <f>IF(C874="",NA(),MATCH($B874&amp;$C874,'Smelter Look-up'!$J:$J,0))</f>
        <v>#N/A</v>
      </c>
      <c r="W874" s="271"/>
      <c r="X874" s="271">
        <f t="shared" ca="1" si="145"/>
        <v>0</v>
      </c>
      <c r="Y874" s="271"/>
      <c r="Z874" s="271"/>
      <c r="AB874" s="273" t="str">
        <f t="shared" si="146"/>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44"/>
        <v/>
      </c>
      <c r="T875" s="222" t="str">
        <f ca="1">IF(B875="","",IF(ISERROR(MATCH($J875,SorP!$B$1:$B$6230,0)),"",INDIRECT("'SorP'!$A$"&amp;MATCH($J875,SorP!$B$1:$B$6230,0))))</f>
        <v/>
      </c>
      <c r="U875" s="238"/>
      <c r="V875" s="270" t="e">
        <f>IF(C875="",NA(),MATCH($B875&amp;$C875,'Smelter Look-up'!$J:$J,0))</f>
        <v>#N/A</v>
      </c>
      <c r="W875" s="271"/>
      <c r="X875" s="271">
        <f t="shared" ca="1" si="145"/>
        <v>0</v>
      </c>
      <c r="Y875" s="271"/>
      <c r="Z875" s="271"/>
      <c r="AB875" s="273" t="str">
        <f t="shared" si="146"/>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44"/>
        <v/>
      </c>
      <c r="T876" s="222" t="str">
        <f ca="1">IF(B876="","",IF(ISERROR(MATCH($J876,SorP!$B$1:$B$6230,0)),"",INDIRECT("'SorP'!$A$"&amp;MATCH($J876,SorP!$B$1:$B$6230,0))))</f>
        <v/>
      </c>
      <c r="U876" s="238"/>
      <c r="V876" s="270" t="e">
        <f>IF(C876="",NA(),MATCH($B876&amp;$C876,'Smelter Look-up'!$J:$J,0))</f>
        <v>#N/A</v>
      </c>
      <c r="W876" s="271"/>
      <c r="X876" s="271">
        <f t="shared" ca="1" si="145"/>
        <v>0</v>
      </c>
      <c r="Y876" s="271"/>
      <c r="Z876" s="271"/>
      <c r="AB876" s="273" t="str">
        <f t="shared" si="146"/>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44"/>
        <v/>
      </c>
      <c r="T877" s="222" t="str">
        <f ca="1">IF(B877="","",IF(ISERROR(MATCH($J877,SorP!$B$1:$B$6230,0)),"",INDIRECT("'SorP'!$A$"&amp;MATCH($J877,SorP!$B$1:$B$6230,0))))</f>
        <v/>
      </c>
      <c r="U877" s="238"/>
      <c r="V877" s="270" t="e">
        <f>IF(C877="",NA(),MATCH($B877&amp;$C877,'Smelter Look-up'!$J:$J,0))</f>
        <v>#N/A</v>
      </c>
      <c r="W877" s="271"/>
      <c r="X877" s="271">
        <f t="shared" ca="1" si="145"/>
        <v>0</v>
      </c>
      <c r="Y877" s="271"/>
      <c r="Z877" s="271"/>
      <c r="AB877" s="273" t="str">
        <f t="shared" si="146"/>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44"/>
        <v/>
      </c>
      <c r="T878" s="222" t="str">
        <f ca="1">IF(B878="","",IF(ISERROR(MATCH($J878,SorP!$B$1:$B$6230,0)),"",INDIRECT("'SorP'!$A$"&amp;MATCH($J878,SorP!$B$1:$B$6230,0))))</f>
        <v/>
      </c>
      <c r="U878" s="238"/>
      <c r="V878" s="270" t="e">
        <f>IF(C878="",NA(),MATCH($B878&amp;$C878,'Smelter Look-up'!$J:$J,0))</f>
        <v>#N/A</v>
      </c>
      <c r="W878" s="271"/>
      <c r="X878" s="271">
        <f t="shared" ca="1" si="145"/>
        <v>0</v>
      </c>
      <c r="Y878" s="271"/>
      <c r="Z878" s="271"/>
      <c r="AB878" s="273" t="str">
        <f t="shared" si="146"/>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44"/>
        <v/>
      </c>
      <c r="T879" s="222" t="str">
        <f ca="1">IF(B879="","",IF(ISERROR(MATCH($J879,SorP!$B$1:$B$6230,0)),"",INDIRECT("'SorP'!$A$"&amp;MATCH($J879,SorP!$B$1:$B$6230,0))))</f>
        <v/>
      </c>
      <c r="U879" s="238"/>
      <c r="V879" s="270" t="e">
        <f>IF(C879="",NA(),MATCH($B879&amp;$C879,'Smelter Look-up'!$J:$J,0))</f>
        <v>#N/A</v>
      </c>
      <c r="W879" s="271"/>
      <c r="X879" s="271">
        <f t="shared" ca="1" si="145"/>
        <v>0</v>
      </c>
      <c r="Y879" s="271"/>
      <c r="Z879" s="271"/>
      <c r="AB879" s="273" t="str">
        <f t="shared" si="146"/>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44"/>
        <v/>
      </c>
      <c r="T880" s="222" t="str">
        <f ca="1">IF(B880="","",IF(ISERROR(MATCH($J880,SorP!$B$1:$B$6230,0)),"",INDIRECT("'SorP'!$A$"&amp;MATCH($J880,SorP!$B$1:$B$6230,0))))</f>
        <v/>
      </c>
      <c r="U880" s="238"/>
      <c r="V880" s="270" t="e">
        <f>IF(C880="",NA(),MATCH($B880&amp;$C880,'Smelter Look-up'!$J:$J,0))</f>
        <v>#N/A</v>
      </c>
      <c r="W880" s="271"/>
      <c r="X880" s="271">
        <f t="shared" ca="1" si="145"/>
        <v>0</v>
      </c>
      <c r="Y880" s="271"/>
      <c r="Z880" s="271"/>
      <c r="AB880" s="273" t="str">
        <f t="shared" si="146"/>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44"/>
        <v/>
      </c>
      <c r="T881" s="222" t="str">
        <f ca="1">IF(B881="","",IF(ISERROR(MATCH($J881,SorP!$B$1:$B$6230,0)),"",INDIRECT("'SorP'!$A$"&amp;MATCH($J881,SorP!$B$1:$B$6230,0))))</f>
        <v/>
      </c>
      <c r="U881" s="238"/>
      <c r="V881" s="270" t="e">
        <f>IF(C881="",NA(),MATCH($B881&amp;$C881,'Smelter Look-up'!$J:$J,0))</f>
        <v>#N/A</v>
      </c>
      <c r="W881" s="271"/>
      <c r="X881" s="271">
        <f t="shared" ca="1" si="145"/>
        <v>0</v>
      </c>
      <c r="Y881" s="271"/>
      <c r="Z881" s="271"/>
      <c r="AB881" s="273" t="str">
        <f t="shared" si="146"/>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44"/>
        <v/>
      </c>
      <c r="T882" s="222" t="str">
        <f ca="1">IF(B882="","",IF(ISERROR(MATCH($J882,SorP!$B$1:$B$6230,0)),"",INDIRECT("'SorP'!$A$"&amp;MATCH($J882,SorP!$B$1:$B$6230,0))))</f>
        <v/>
      </c>
      <c r="U882" s="238"/>
      <c r="V882" s="270" t="e">
        <f>IF(C882="",NA(),MATCH($B882&amp;$C882,'Smelter Look-up'!$J:$J,0))</f>
        <v>#N/A</v>
      </c>
      <c r="W882" s="271"/>
      <c r="X882" s="271">
        <f t="shared" ca="1" si="145"/>
        <v>0</v>
      </c>
      <c r="Y882" s="271"/>
      <c r="Z882" s="271"/>
      <c r="AB882" s="273" t="str">
        <f t="shared" si="146"/>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44"/>
        <v/>
      </c>
      <c r="T883" s="222" t="str">
        <f ca="1">IF(B883="","",IF(ISERROR(MATCH($J883,SorP!$B$1:$B$6230,0)),"",INDIRECT("'SorP'!$A$"&amp;MATCH($J883,SorP!$B$1:$B$6230,0))))</f>
        <v/>
      </c>
      <c r="U883" s="238"/>
      <c r="V883" s="270" t="e">
        <f>IF(C883="",NA(),MATCH($B883&amp;$C883,'Smelter Look-up'!$J:$J,0))</f>
        <v>#N/A</v>
      </c>
      <c r="W883" s="271"/>
      <c r="X883" s="271">
        <f t="shared" ca="1" si="145"/>
        <v>0</v>
      </c>
      <c r="Y883" s="271"/>
      <c r="Z883" s="271"/>
      <c r="AB883" s="273" t="str">
        <f t="shared" si="146"/>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44"/>
        <v/>
      </c>
      <c r="T884" s="222" t="str">
        <f ca="1">IF(B884="","",IF(ISERROR(MATCH($J884,SorP!$B$1:$B$6230,0)),"",INDIRECT("'SorP'!$A$"&amp;MATCH($J884,SorP!$B$1:$B$6230,0))))</f>
        <v/>
      </c>
      <c r="U884" s="238"/>
      <c r="V884" s="270" t="e">
        <f>IF(C884="",NA(),MATCH($B884&amp;$C884,'Smelter Look-up'!$J:$J,0))</f>
        <v>#N/A</v>
      </c>
      <c r="W884" s="271"/>
      <c r="X884" s="271">
        <f t="shared" ca="1" si="145"/>
        <v>0</v>
      </c>
      <c r="Y884" s="271"/>
      <c r="Z884" s="271"/>
      <c r="AB884" s="273" t="str">
        <f t="shared" si="146"/>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44"/>
        <v/>
      </c>
      <c r="T885" s="222" t="str">
        <f ca="1">IF(B885="","",IF(ISERROR(MATCH($J885,SorP!$B$1:$B$6230,0)),"",INDIRECT("'SorP'!$A$"&amp;MATCH($J885,SorP!$B$1:$B$6230,0))))</f>
        <v/>
      </c>
      <c r="U885" s="238"/>
      <c r="V885" s="270" t="e">
        <f>IF(C885="",NA(),MATCH($B885&amp;$C885,'Smelter Look-up'!$J:$J,0))</f>
        <v>#N/A</v>
      </c>
      <c r="W885" s="271"/>
      <c r="X885" s="271">
        <f t="shared" ca="1" si="145"/>
        <v>0</v>
      </c>
      <c r="Y885" s="271"/>
      <c r="Z885" s="271"/>
      <c r="AB885" s="273" t="str">
        <f t="shared" si="146"/>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44"/>
        <v/>
      </c>
      <c r="T886" s="222" t="str">
        <f ca="1">IF(B886="","",IF(ISERROR(MATCH($J886,SorP!$B$1:$B$6230,0)),"",INDIRECT("'SorP'!$A$"&amp;MATCH($J886,SorP!$B$1:$B$6230,0))))</f>
        <v/>
      </c>
      <c r="U886" s="238"/>
      <c r="V886" s="270" t="e">
        <f>IF(C886="",NA(),MATCH($B886&amp;$C886,'Smelter Look-up'!$J:$J,0))</f>
        <v>#N/A</v>
      </c>
      <c r="W886" s="271"/>
      <c r="X886" s="271">
        <f t="shared" ca="1" si="145"/>
        <v>0</v>
      </c>
      <c r="Y886" s="271"/>
      <c r="Z886" s="271"/>
      <c r="AB886" s="273" t="str">
        <f t="shared" si="146"/>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44"/>
        <v/>
      </c>
      <c r="T887" s="222" t="str">
        <f ca="1">IF(B887="","",IF(ISERROR(MATCH($J887,SorP!$B$1:$B$6230,0)),"",INDIRECT("'SorP'!$A$"&amp;MATCH($J887,SorP!$B$1:$B$6230,0))))</f>
        <v/>
      </c>
      <c r="U887" s="238"/>
      <c r="V887" s="270" t="e">
        <f>IF(C887="",NA(),MATCH($B887&amp;$C887,'Smelter Look-up'!$J:$J,0))</f>
        <v>#N/A</v>
      </c>
      <c r="W887" s="271"/>
      <c r="X887" s="271">
        <f t="shared" ca="1" si="145"/>
        <v>0</v>
      </c>
      <c r="Y887" s="271"/>
      <c r="Z887" s="271"/>
      <c r="AB887" s="273" t="str">
        <f t="shared" si="146"/>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44"/>
        <v/>
      </c>
      <c r="T888" s="222" t="str">
        <f ca="1">IF(B888="","",IF(ISERROR(MATCH($J888,SorP!$B$1:$B$6230,0)),"",INDIRECT("'SorP'!$A$"&amp;MATCH($J888,SorP!$B$1:$B$6230,0))))</f>
        <v/>
      </c>
      <c r="U888" s="238"/>
      <c r="V888" s="270" t="e">
        <f>IF(C888="",NA(),MATCH($B888&amp;$C888,'Smelter Look-up'!$J:$J,0))</f>
        <v>#N/A</v>
      </c>
      <c r="W888" s="271"/>
      <c r="X888" s="271">
        <f t="shared" ca="1" si="145"/>
        <v>0</v>
      </c>
      <c r="Y888" s="271"/>
      <c r="Z888" s="271"/>
      <c r="AB888" s="273" t="str">
        <f t="shared" si="146"/>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ref="S889:S919" ca="1" si="147">IF(B889="","",IF(ISERROR(MATCH($E889,CL,0)),"Unknown",INDIRECT("'C'!$A$"&amp;MATCH($E889,CL,0)+1)))</f>
        <v/>
      </c>
      <c r="T889" s="222" t="str">
        <f ca="1">IF(B889="","",IF(ISERROR(MATCH($J889,SorP!$B$1:$B$6230,0)),"",INDIRECT("'SorP'!$A$"&amp;MATCH($J889,SorP!$B$1:$B$6230,0))))</f>
        <v/>
      </c>
      <c r="U889" s="238"/>
      <c r="V889" s="270" t="e">
        <f>IF(C889="",NA(),MATCH($B889&amp;$C889,'Smelter Look-up'!$J:$J,0))</f>
        <v>#N/A</v>
      </c>
      <c r="W889" s="271"/>
      <c r="X889" s="271">
        <f t="shared" ref="X889:X919" ca="1" si="148">IF(AND(C889="Smelter not listed",OR(LEN(D889)=0,LEN(E889)=0)),1,0)</f>
        <v>0</v>
      </c>
      <c r="Y889" s="271"/>
      <c r="Z889" s="271"/>
      <c r="AB889" s="273" t="str">
        <f t="shared" ref="AB889:AB919" si="149">B889&amp;C889</f>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47"/>
        <v/>
      </c>
      <c r="T890" s="222" t="str">
        <f ca="1">IF(B890="","",IF(ISERROR(MATCH($J890,SorP!$B$1:$B$6230,0)),"",INDIRECT("'SorP'!$A$"&amp;MATCH($J890,SorP!$B$1:$B$6230,0))))</f>
        <v/>
      </c>
      <c r="U890" s="238"/>
      <c r="V890" s="270" t="e">
        <f>IF(C890="",NA(),MATCH($B890&amp;$C890,'Smelter Look-up'!$J:$J,0))</f>
        <v>#N/A</v>
      </c>
      <c r="W890" s="271"/>
      <c r="X890" s="271">
        <f t="shared" ca="1" si="148"/>
        <v>0</v>
      </c>
      <c r="Y890" s="271"/>
      <c r="Z890" s="271"/>
      <c r="AB890" s="273" t="str">
        <f t="shared" si="149"/>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ca="1" si="147"/>
        <v/>
      </c>
      <c r="T891" s="222" t="str">
        <f ca="1">IF(B891="","",IF(ISERROR(MATCH($J891,SorP!$B$1:$B$6230,0)),"",INDIRECT("'SorP'!$A$"&amp;MATCH($J891,SorP!$B$1:$B$6230,0))))</f>
        <v/>
      </c>
      <c r="U891" s="238"/>
      <c r="V891" s="270" t="e">
        <f>IF(C891="",NA(),MATCH($B891&amp;$C891,'Smelter Look-up'!$J:$J,0))</f>
        <v>#N/A</v>
      </c>
      <c r="W891" s="271"/>
      <c r="X891" s="271">
        <f t="shared" ca="1" si="148"/>
        <v>0</v>
      </c>
      <c r="Y891" s="271"/>
      <c r="Z891" s="271"/>
      <c r="AB891" s="273" t="str">
        <f t="shared" si="149"/>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ca="1" si="147"/>
        <v/>
      </c>
      <c r="T892" s="222" t="str">
        <f ca="1">IF(B892="","",IF(ISERROR(MATCH($J892,SorP!$B$1:$B$6230,0)),"",INDIRECT("'SorP'!$A$"&amp;MATCH($J892,SorP!$B$1:$B$6230,0))))</f>
        <v/>
      </c>
      <c r="U892" s="238"/>
      <c r="V892" s="270" t="e">
        <f>IF(C892="",NA(),MATCH($B892&amp;$C892,'Smelter Look-up'!$J:$J,0))</f>
        <v>#N/A</v>
      </c>
      <c r="W892" s="271"/>
      <c r="X892" s="271">
        <f t="shared" ca="1" si="148"/>
        <v>0</v>
      </c>
      <c r="Y892" s="271"/>
      <c r="Z892" s="271"/>
      <c r="AB892" s="273" t="str">
        <f t="shared" si="149"/>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47"/>
        <v/>
      </c>
      <c r="T893" s="222" t="str">
        <f ca="1">IF(B893="","",IF(ISERROR(MATCH($J893,SorP!$B$1:$B$6230,0)),"",INDIRECT("'SorP'!$A$"&amp;MATCH($J893,SorP!$B$1:$B$6230,0))))</f>
        <v/>
      </c>
      <c r="U893" s="238"/>
      <c r="V893" s="270" t="e">
        <f>IF(C893="",NA(),MATCH($B893&amp;$C893,'Smelter Look-up'!$J:$J,0))</f>
        <v>#N/A</v>
      </c>
      <c r="W893" s="271"/>
      <c r="X893" s="271">
        <f t="shared" ca="1" si="148"/>
        <v>0</v>
      </c>
      <c r="Y893" s="271"/>
      <c r="Z893" s="271"/>
      <c r="AB893" s="273" t="str">
        <f t="shared" si="149"/>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47"/>
        <v/>
      </c>
      <c r="T894" s="222" t="str">
        <f ca="1">IF(B894="","",IF(ISERROR(MATCH($J894,SorP!$B$1:$B$6230,0)),"",INDIRECT("'SorP'!$A$"&amp;MATCH($J894,SorP!$B$1:$B$6230,0))))</f>
        <v/>
      </c>
      <c r="U894" s="238"/>
      <c r="V894" s="270" t="e">
        <f>IF(C894="",NA(),MATCH($B894&amp;$C894,'Smelter Look-up'!$J:$J,0))</f>
        <v>#N/A</v>
      </c>
      <c r="W894" s="271"/>
      <c r="X894" s="271">
        <f t="shared" ca="1" si="148"/>
        <v>0</v>
      </c>
      <c r="Y894" s="271"/>
      <c r="Z894" s="271"/>
      <c r="AB894" s="273" t="str">
        <f t="shared" si="149"/>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47"/>
        <v/>
      </c>
      <c r="T895" s="222" t="str">
        <f ca="1">IF(B895="","",IF(ISERROR(MATCH($J895,SorP!$B$1:$B$6230,0)),"",INDIRECT("'SorP'!$A$"&amp;MATCH($J895,SorP!$B$1:$B$6230,0))))</f>
        <v/>
      </c>
      <c r="U895" s="238"/>
      <c r="V895" s="270" t="e">
        <f>IF(C895="",NA(),MATCH($B895&amp;$C895,'Smelter Look-up'!$J:$J,0))</f>
        <v>#N/A</v>
      </c>
      <c r="W895" s="271"/>
      <c r="X895" s="271">
        <f t="shared" ca="1" si="148"/>
        <v>0</v>
      </c>
      <c r="Y895" s="271"/>
      <c r="Z895" s="271"/>
      <c r="AB895" s="273" t="str">
        <f t="shared" si="149"/>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47"/>
        <v/>
      </c>
      <c r="T896" s="222" t="str">
        <f ca="1">IF(B896="","",IF(ISERROR(MATCH($J896,SorP!$B$1:$B$6230,0)),"",INDIRECT("'SorP'!$A$"&amp;MATCH($J896,SorP!$B$1:$B$6230,0))))</f>
        <v/>
      </c>
      <c r="U896" s="238"/>
      <c r="V896" s="270" t="e">
        <f>IF(C896="",NA(),MATCH($B896&amp;$C896,'Smelter Look-up'!$J:$J,0))</f>
        <v>#N/A</v>
      </c>
      <c r="W896" s="271"/>
      <c r="X896" s="271">
        <f t="shared" ca="1" si="148"/>
        <v>0</v>
      </c>
      <c r="Y896" s="271"/>
      <c r="Z896" s="271"/>
      <c r="AB896" s="273" t="str">
        <f t="shared" si="149"/>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47"/>
        <v/>
      </c>
      <c r="T897" s="222" t="str">
        <f ca="1">IF(B897="","",IF(ISERROR(MATCH($J897,SorP!$B$1:$B$6230,0)),"",INDIRECT("'SorP'!$A$"&amp;MATCH($J897,SorP!$B$1:$B$6230,0))))</f>
        <v/>
      </c>
      <c r="U897" s="238"/>
      <c r="V897" s="270" t="e">
        <f>IF(C897="",NA(),MATCH($B897&amp;$C897,'Smelter Look-up'!$J:$J,0))</f>
        <v>#N/A</v>
      </c>
      <c r="W897" s="271"/>
      <c r="X897" s="271">
        <f t="shared" ca="1" si="148"/>
        <v>0</v>
      </c>
      <c r="Y897" s="271"/>
      <c r="Z897" s="271"/>
      <c r="AB897" s="273" t="str">
        <f t="shared" si="149"/>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47"/>
        <v/>
      </c>
      <c r="T898" s="222" t="str">
        <f ca="1">IF(B898="","",IF(ISERROR(MATCH($J898,SorP!$B$1:$B$6230,0)),"",INDIRECT("'SorP'!$A$"&amp;MATCH($J898,SorP!$B$1:$B$6230,0))))</f>
        <v/>
      </c>
      <c r="U898" s="238"/>
      <c r="V898" s="270" t="e">
        <f>IF(C898="",NA(),MATCH($B898&amp;$C898,'Smelter Look-up'!$J:$J,0))</f>
        <v>#N/A</v>
      </c>
      <c r="W898" s="271"/>
      <c r="X898" s="271">
        <f t="shared" ca="1" si="148"/>
        <v>0</v>
      </c>
      <c r="Y898" s="271"/>
      <c r="Z898" s="271"/>
      <c r="AB898" s="273" t="str">
        <f t="shared" si="149"/>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47"/>
        <v/>
      </c>
      <c r="T899" s="222" t="str">
        <f ca="1">IF(B899="","",IF(ISERROR(MATCH($J899,SorP!$B$1:$B$6230,0)),"",INDIRECT("'SorP'!$A$"&amp;MATCH($J899,SorP!$B$1:$B$6230,0))))</f>
        <v/>
      </c>
      <c r="U899" s="238"/>
      <c r="V899" s="270" t="e">
        <f>IF(C899="",NA(),MATCH($B899&amp;$C899,'Smelter Look-up'!$J:$J,0))</f>
        <v>#N/A</v>
      </c>
      <c r="W899" s="271"/>
      <c r="X899" s="271">
        <f t="shared" ca="1" si="148"/>
        <v>0</v>
      </c>
      <c r="Y899" s="271"/>
      <c r="Z899" s="271"/>
      <c r="AB899" s="273" t="str">
        <f t="shared" si="149"/>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47"/>
        <v/>
      </c>
      <c r="T900" s="222" t="str">
        <f ca="1">IF(B900="","",IF(ISERROR(MATCH($J900,SorP!$B$1:$B$6230,0)),"",INDIRECT("'SorP'!$A$"&amp;MATCH($J900,SorP!$B$1:$B$6230,0))))</f>
        <v/>
      </c>
      <c r="U900" s="238"/>
      <c r="V900" s="270" t="e">
        <f>IF(C900="",NA(),MATCH($B900&amp;$C900,'Smelter Look-up'!$J:$J,0))</f>
        <v>#N/A</v>
      </c>
      <c r="W900" s="271"/>
      <c r="X900" s="271">
        <f t="shared" ca="1" si="148"/>
        <v>0</v>
      </c>
      <c r="Y900" s="271"/>
      <c r="Z900" s="271"/>
      <c r="AB900" s="273" t="str">
        <f t="shared" si="149"/>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47"/>
        <v/>
      </c>
      <c r="T901" s="222" t="str">
        <f ca="1">IF(B901="","",IF(ISERROR(MATCH($J901,SorP!$B$1:$B$6230,0)),"",INDIRECT("'SorP'!$A$"&amp;MATCH($J901,SorP!$B$1:$B$6230,0))))</f>
        <v/>
      </c>
      <c r="U901" s="238"/>
      <c r="V901" s="270" t="e">
        <f>IF(C901="",NA(),MATCH($B901&amp;$C901,'Smelter Look-up'!$J:$J,0))</f>
        <v>#N/A</v>
      </c>
      <c r="W901" s="271"/>
      <c r="X901" s="271">
        <f t="shared" ca="1" si="148"/>
        <v>0</v>
      </c>
      <c r="Y901" s="271"/>
      <c r="Z901" s="271"/>
      <c r="AB901" s="273" t="str">
        <f t="shared" si="149"/>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47"/>
        <v/>
      </c>
      <c r="T902" s="222" t="str">
        <f ca="1">IF(B902="","",IF(ISERROR(MATCH($J902,SorP!$B$1:$B$6230,0)),"",INDIRECT("'SorP'!$A$"&amp;MATCH($J902,SorP!$B$1:$B$6230,0))))</f>
        <v/>
      </c>
      <c r="U902" s="238"/>
      <c r="V902" s="270" t="e">
        <f>IF(C902="",NA(),MATCH($B902&amp;$C902,'Smelter Look-up'!$J:$J,0))</f>
        <v>#N/A</v>
      </c>
      <c r="W902" s="271"/>
      <c r="X902" s="271">
        <f t="shared" ca="1" si="148"/>
        <v>0</v>
      </c>
      <c r="Y902" s="271"/>
      <c r="Z902" s="271"/>
      <c r="AB902" s="273" t="str">
        <f t="shared" si="149"/>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47"/>
        <v/>
      </c>
      <c r="T903" s="222" t="str">
        <f ca="1">IF(B903="","",IF(ISERROR(MATCH($J903,SorP!$B$1:$B$6230,0)),"",INDIRECT("'SorP'!$A$"&amp;MATCH($J903,SorP!$B$1:$B$6230,0))))</f>
        <v/>
      </c>
      <c r="U903" s="238"/>
      <c r="V903" s="270" t="e">
        <f>IF(C903="",NA(),MATCH($B903&amp;$C903,'Smelter Look-up'!$J:$J,0))</f>
        <v>#N/A</v>
      </c>
      <c r="W903" s="271"/>
      <c r="X903" s="271">
        <f t="shared" ca="1" si="148"/>
        <v>0</v>
      </c>
      <c r="Y903" s="271"/>
      <c r="Z903" s="271"/>
      <c r="AB903" s="273" t="str">
        <f t="shared" si="149"/>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47"/>
        <v/>
      </c>
      <c r="T904" s="222" t="str">
        <f ca="1">IF(B904="","",IF(ISERROR(MATCH($J904,SorP!$B$1:$B$6230,0)),"",INDIRECT("'SorP'!$A$"&amp;MATCH($J904,SorP!$B$1:$B$6230,0))))</f>
        <v/>
      </c>
      <c r="U904" s="238"/>
      <c r="V904" s="270" t="e">
        <f>IF(C904="",NA(),MATCH($B904&amp;$C904,'Smelter Look-up'!$J:$J,0))</f>
        <v>#N/A</v>
      </c>
      <c r="W904" s="271"/>
      <c r="X904" s="271">
        <f t="shared" ca="1" si="148"/>
        <v>0</v>
      </c>
      <c r="Y904" s="271"/>
      <c r="Z904" s="271"/>
      <c r="AB904" s="273" t="str">
        <f t="shared" si="149"/>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47"/>
        <v/>
      </c>
      <c r="T905" s="222" t="str">
        <f ca="1">IF(B905="","",IF(ISERROR(MATCH($J905,SorP!$B$1:$B$6230,0)),"",INDIRECT("'SorP'!$A$"&amp;MATCH($J905,SorP!$B$1:$B$6230,0))))</f>
        <v/>
      </c>
      <c r="U905" s="238"/>
      <c r="V905" s="270" t="e">
        <f>IF(C905="",NA(),MATCH($B905&amp;$C905,'Smelter Look-up'!$J:$J,0))</f>
        <v>#N/A</v>
      </c>
      <c r="W905" s="271"/>
      <c r="X905" s="271">
        <f t="shared" ca="1" si="148"/>
        <v>0</v>
      </c>
      <c r="Y905" s="271"/>
      <c r="Z905" s="271"/>
      <c r="AB905" s="273" t="str">
        <f t="shared" si="149"/>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47"/>
        <v/>
      </c>
      <c r="T906" s="222" t="str">
        <f ca="1">IF(B906="","",IF(ISERROR(MATCH($J906,SorP!$B$1:$B$6230,0)),"",INDIRECT("'SorP'!$A$"&amp;MATCH($J906,SorP!$B$1:$B$6230,0))))</f>
        <v/>
      </c>
      <c r="U906" s="238"/>
      <c r="V906" s="270" t="e">
        <f>IF(C906="",NA(),MATCH($B906&amp;$C906,'Smelter Look-up'!$J:$J,0))</f>
        <v>#N/A</v>
      </c>
      <c r="W906" s="271"/>
      <c r="X906" s="271">
        <f t="shared" ca="1" si="148"/>
        <v>0</v>
      </c>
      <c r="Y906" s="271"/>
      <c r="Z906" s="271"/>
      <c r="AB906" s="273" t="str">
        <f t="shared" si="149"/>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47"/>
        <v/>
      </c>
      <c r="T907" s="222" t="str">
        <f ca="1">IF(B907="","",IF(ISERROR(MATCH($J907,SorP!$B$1:$B$6230,0)),"",INDIRECT("'SorP'!$A$"&amp;MATCH($J907,SorP!$B$1:$B$6230,0))))</f>
        <v/>
      </c>
      <c r="U907" s="238"/>
      <c r="V907" s="270" t="e">
        <f>IF(C907="",NA(),MATCH($B907&amp;$C907,'Smelter Look-up'!$J:$J,0))</f>
        <v>#N/A</v>
      </c>
      <c r="W907" s="271"/>
      <c r="X907" s="271">
        <f t="shared" ca="1" si="148"/>
        <v>0</v>
      </c>
      <c r="Y907" s="271"/>
      <c r="Z907" s="271"/>
      <c r="AB907" s="273" t="str">
        <f t="shared" si="149"/>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47"/>
        <v/>
      </c>
      <c r="T908" s="222" t="str">
        <f ca="1">IF(B908="","",IF(ISERROR(MATCH($J908,SorP!$B$1:$B$6230,0)),"",INDIRECT("'SorP'!$A$"&amp;MATCH($J908,SorP!$B$1:$B$6230,0))))</f>
        <v/>
      </c>
      <c r="U908" s="238"/>
      <c r="V908" s="270" t="e">
        <f>IF(C908="",NA(),MATCH($B908&amp;$C908,'Smelter Look-up'!$J:$J,0))</f>
        <v>#N/A</v>
      </c>
      <c r="W908" s="271"/>
      <c r="X908" s="271">
        <f t="shared" ca="1" si="148"/>
        <v>0</v>
      </c>
      <c r="Y908" s="271"/>
      <c r="Z908" s="271"/>
      <c r="AB908" s="273" t="str">
        <f t="shared" si="149"/>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47"/>
        <v/>
      </c>
      <c r="T909" s="222" t="str">
        <f ca="1">IF(B909="","",IF(ISERROR(MATCH($J909,SorP!$B$1:$B$6230,0)),"",INDIRECT("'SorP'!$A$"&amp;MATCH($J909,SorP!$B$1:$B$6230,0))))</f>
        <v/>
      </c>
      <c r="U909" s="238"/>
      <c r="V909" s="270" t="e">
        <f>IF(C909="",NA(),MATCH($B909&amp;$C909,'Smelter Look-up'!$J:$J,0))</f>
        <v>#N/A</v>
      </c>
      <c r="W909" s="271"/>
      <c r="X909" s="271">
        <f t="shared" ca="1" si="148"/>
        <v>0</v>
      </c>
      <c r="Y909" s="271"/>
      <c r="Z909" s="271"/>
      <c r="AB909" s="273" t="str">
        <f t="shared" si="149"/>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47"/>
        <v/>
      </c>
      <c r="T910" s="222" t="str">
        <f ca="1">IF(B910="","",IF(ISERROR(MATCH($J910,SorP!$B$1:$B$6230,0)),"",INDIRECT("'SorP'!$A$"&amp;MATCH($J910,SorP!$B$1:$B$6230,0))))</f>
        <v/>
      </c>
      <c r="U910" s="238"/>
      <c r="V910" s="270" t="e">
        <f>IF(C910="",NA(),MATCH($B910&amp;$C910,'Smelter Look-up'!$J:$J,0))</f>
        <v>#N/A</v>
      </c>
      <c r="W910" s="271"/>
      <c r="X910" s="271">
        <f t="shared" ca="1" si="148"/>
        <v>0</v>
      </c>
      <c r="Y910" s="271"/>
      <c r="Z910" s="271"/>
      <c r="AB910" s="273" t="str">
        <f t="shared" si="149"/>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47"/>
        <v/>
      </c>
      <c r="T911" s="222" t="str">
        <f ca="1">IF(B911="","",IF(ISERROR(MATCH($J911,SorP!$B$1:$B$6230,0)),"",INDIRECT("'SorP'!$A$"&amp;MATCH($J911,SorP!$B$1:$B$6230,0))))</f>
        <v/>
      </c>
      <c r="U911" s="238"/>
      <c r="V911" s="270" t="e">
        <f>IF(C911="",NA(),MATCH($B911&amp;$C911,'Smelter Look-up'!$J:$J,0))</f>
        <v>#N/A</v>
      </c>
      <c r="W911" s="271"/>
      <c r="X911" s="271">
        <f t="shared" ca="1" si="148"/>
        <v>0</v>
      </c>
      <c r="Y911" s="271"/>
      <c r="Z911" s="271"/>
      <c r="AB911" s="273" t="str">
        <f t="shared" si="149"/>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47"/>
        <v/>
      </c>
      <c r="T912" s="222" t="str">
        <f ca="1">IF(B912="","",IF(ISERROR(MATCH($J912,SorP!$B$1:$B$6230,0)),"",INDIRECT("'SorP'!$A$"&amp;MATCH($J912,SorP!$B$1:$B$6230,0))))</f>
        <v/>
      </c>
      <c r="U912" s="238"/>
      <c r="V912" s="270" t="e">
        <f>IF(C912="",NA(),MATCH($B912&amp;$C912,'Smelter Look-up'!$J:$J,0))</f>
        <v>#N/A</v>
      </c>
      <c r="W912" s="271"/>
      <c r="X912" s="271">
        <f t="shared" ca="1" si="148"/>
        <v>0</v>
      </c>
      <c r="Y912" s="271"/>
      <c r="Z912" s="271"/>
      <c r="AB912" s="273" t="str">
        <f t="shared" si="149"/>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47"/>
        <v/>
      </c>
      <c r="T913" s="222" t="str">
        <f ca="1">IF(B913="","",IF(ISERROR(MATCH($J913,SorP!$B$1:$B$6230,0)),"",INDIRECT("'SorP'!$A$"&amp;MATCH($J913,SorP!$B$1:$B$6230,0))))</f>
        <v/>
      </c>
      <c r="U913" s="238"/>
      <c r="V913" s="270" t="e">
        <f>IF(C913="",NA(),MATCH($B913&amp;$C913,'Smelter Look-up'!$J:$J,0))</f>
        <v>#N/A</v>
      </c>
      <c r="W913" s="271"/>
      <c r="X913" s="271">
        <f t="shared" ca="1" si="148"/>
        <v>0</v>
      </c>
      <c r="Y913" s="271"/>
      <c r="Z913" s="271"/>
      <c r="AB913" s="273" t="str">
        <f t="shared" si="149"/>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47"/>
        <v/>
      </c>
      <c r="T914" s="222" t="str">
        <f ca="1">IF(B914="","",IF(ISERROR(MATCH($J914,SorP!$B$1:$B$6230,0)),"",INDIRECT("'SorP'!$A$"&amp;MATCH($J914,SorP!$B$1:$B$6230,0))))</f>
        <v/>
      </c>
      <c r="U914" s="238"/>
      <c r="V914" s="270" t="e">
        <f>IF(C914="",NA(),MATCH($B914&amp;$C914,'Smelter Look-up'!$J:$J,0))</f>
        <v>#N/A</v>
      </c>
      <c r="W914" s="271"/>
      <c r="X914" s="271">
        <f t="shared" ca="1" si="148"/>
        <v>0</v>
      </c>
      <c r="Y914" s="271"/>
      <c r="Z914" s="271"/>
      <c r="AB914" s="273" t="str">
        <f t="shared" si="149"/>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47"/>
        <v/>
      </c>
      <c r="T915" s="222" t="str">
        <f ca="1">IF(B915="","",IF(ISERROR(MATCH($J915,SorP!$B$1:$B$6230,0)),"",INDIRECT("'SorP'!$A$"&amp;MATCH($J915,SorP!$B$1:$B$6230,0))))</f>
        <v/>
      </c>
      <c r="U915" s="238"/>
      <c r="V915" s="270" t="e">
        <f>IF(C915="",NA(),MATCH($B915&amp;$C915,'Smelter Look-up'!$J:$J,0))</f>
        <v>#N/A</v>
      </c>
      <c r="W915" s="271"/>
      <c r="X915" s="271">
        <f t="shared" ca="1" si="148"/>
        <v>0</v>
      </c>
      <c r="Y915" s="271"/>
      <c r="Z915" s="271"/>
      <c r="AB915" s="273" t="str">
        <f t="shared" si="149"/>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47"/>
        <v/>
      </c>
      <c r="T916" s="222" t="str">
        <f ca="1">IF(B916="","",IF(ISERROR(MATCH($J916,SorP!$B$1:$B$6230,0)),"",INDIRECT("'SorP'!$A$"&amp;MATCH($J916,SorP!$B$1:$B$6230,0))))</f>
        <v/>
      </c>
      <c r="U916" s="238"/>
      <c r="V916" s="270" t="e">
        <f>IF(C916="",NA(),MATCH($B916&amp;$C916,'Smelter Look-up'!$J:$J,0))</f>
        <v>#N/A</v>
      </c>
      <c r="W916" s="271"/>
      <c r="X916" s="271">
        <f t="shared" ca="1" si="148"/>
        <v>0</v>
      </c>
      <c r="Y916" s="271"/>
      <c r="Z916" s="271"/>
      <c r="AB916" s="273" t="str">
        <f t="shared" si="149"/>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47"/>
        <v/>
      </c>
      <c r="T917" s="222" t="str">
        <f ca="1">IF(B917="","",IF(ISERROR(MATCH($J917,SorP!$B$1:$B$6230,0)),"",INDIRECT("'SorP'!$A$"&amp;MATCH($J917,SorP!$B$1:$B$6230,0))))</f>
        <v/>
      </c>
      <c r="U917" s="238"/>
      <c r="V917" s="270" t="e">
        <f>IF(C917="",NA(),MATCH($B917&amp;$C917,'Smelter Look-up'!$J:$J,0))</f>
        <v>#N/A</v>
      </c>
      <c r="W917" s="271"/>
      <c r="X917" s="271">
        <f t="shared" ca="1" si="148"/>
        <v>0</v>
      </c>
      <c r="Y917" s="271"/>
      <c r="Z917" s="271"/>
      <c r="AB917" s="273" t="str">
        <f t="shared" si="149"/>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47"/>
        <v/>
      </c>
      <c r="T918" s="222" t="str">
        <f ca="1">IF(B918="","",IF(ISERROR(MATCH($J918,SorP!$B$1:$B$6230,0)),"",INDIRECT("'SorP'!$A$"&amp;MATCH($J918,SorP!$B$1:$B$6230,0))))</f>
        <v/>
      </c>
      <c r="U918" s="238"/>
      <c r="V918" s="270" t="e">
        <f>IF(C918="",NA(),MATCH($B918&amp;$C918,'Smelter Look-up'!$J:$J,0))</f>
        <v>#N/A</v>
      </c>
      <c r="W918" s="271"/>
      <c r="X918" s="271">
        <f t="shared" ca="1" si="148"/>
        <v>0</v>
      </c>
      <c r="Y918" s="271"/>
      <c r="Z918" s="271"/>
      <c r="AB918" s="273" t="str">
        <f t="shared" si="149"/>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47"/>
        <v/>
      </c>
      <c r="T919" s="222" t="str">
        <f ca="1">IF(B919="","",IF(ISERROR(MATCH($J919,SorP!$B$1:$B$6230,0)),"",INDIRECT("'SorP'!$A$"&amp;MATCH($J919,SorP!$B$1:$B$6230,0))))</f>
        <v/>
      </c>
      <c r="U919" s="238"/>
      <c r="V919" s="270" t="e">
        <f>IF(C919="",NA(),MATCH($B919&amp;$C919,'Smelter Look-up'!$J:$J,0))</f>
        <v>#N/A</v>
      </c>
      <c r="W919" s="271"/>
      <c r="X919" s="271">
        <f t="shared" ca="1" si="148"/>
        <v>0</v>
      </c>
      <c r="Y919" s="271"/>
      <c r="Z919" s="271"/>
      <c r="AB919" s="273" t="str">
        <f t="shared" si="149"/>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ref="S920" ca="1" si="150">IF(B920="","",IF(ISERROR(MATCH($E920,CL,0)),"Unknown",INDIRECT("'C'!$A$"&amp;MATCH($E920,CL,0)+1)))</f>
        <v/>
      </c>
      <c r="T920" s="222" t="str">
        <f ca="1">IF(B920="","",IF(ISERROR(MATCH($J920,SorP!$B$1:$B$6230,0)),"",INDIRECT("'SorP'!$A$"&amp;MATCH($J920,SorP!$B$1:$B$6230,0))))</f>
        <v/>
      </c>
      <c r="U920" s="238"/>
      <c r="V920" s="270" t="e">
        <f>IF(C920="",NA(),MATCH($B920&amp;$C920,'Smelter Look-up'!$J:$J,0))</f>
        <v>#N/A</v>
      </c>
      <c r="W920" s="271"/>
      <c r="X920" s="271">
        <f t="shared" ref="X920" ca="1" si="151">IF(AND(C920="Smelter not listed",OR(LEN(D920)=0,LEN(E920)=0)),1,0)</f>
        <v>0</v>
      </c>
      <c r="Y920" s="271"/>
      <c r="Z920" s="271"/>
      <c r="AB920" s="273" t="str">
        <f t="shared" ref="AB920" si="152">B920&amp;C920</f>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ref="S921:S952" ca="1" si="153">IF(B921="","",IF(ISERROR(MATCH($E921,CL,0)),"Unknown",INDIRECT("'C'!$A$"&amp;MATCH($E921,CL,0)+1)))</f>
        <v/>
      </c>
      <c r="T921" s="222" t="str">
        <f ca="1">IF(B921="","",IF(ISERROR(MATCH($J921,SorP!$B$1:$B$6230,0)),"",INDIRECT("'SorP'!$A$"&amp;MATCH($J921,SorP!$B$1:$B$6230,0))))</f>
        <v/>
      </c>
      <c r="U921" s="238"/>
      <c r="V921" s="270" t="e">
        <f>IF(C921="",NA(),MATCH($B921&amp;$C921,'Smelter Look-up'!$J:$J,0))</f>
        <v>#N/A</v>
      </c>
      <c r="W921" s="271"/>
      <c r="X921" s="271">
        <f t="shared" ref="X921:X952" ca="1" si="154">IF(AND(C921="Smelter not listed",OR(LEN(D921)=0,LEN(E921)=0)),1,0)</f>
        <v>0</v>
      </c>
      <c r="Y921" s="271"/>
      <c r="Z921" s="271"/>
      <c r="AB921" s="273" t="str">
        <f t="shared" ref="AB921:AB952" si="155">B921&amp;C921</f>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53"/>
        <v/>
      </c>
      <c r="T922" s="222" t="str">
        <f ca="1">IF(B922="","",IF(ISERROR(MATCH($J922,SorP!$B$1:$B$6230,0)),"",INDIRECT("'SorP'!$A$"&amp;MATCH($J922,SorP!$B$1:$B$6230,0))))</f>
        <v/>
      </c>
      <c r="U922" s="238"/>
      <c r="V922" s="270" t="e">
        <f>IF(C922="",NA(),MATCH($B922&amp;$C922,'Smelter Look-up'!$J:$J,0))</f>
        <v>#N/A</v>
      </c>
      <c r="W922" s="271"/>
      <c r="X922" s="271">
        <f t="shared" ca="1" si="154"/>
        <v>0</v>
      </c>
      <c r="Y922" s="271"/>
      <c r="Z922" s="271"/>
      <c r="AB922" s="273" t="str">
        <f t="shared" si="155"/>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53"/>
        <v/>
      </c>
      <c r="T923" s="222" t="str">
        <f ca="1">IF(B923="","",IF(ISERROR(MATCH($J923,SorP!$B$1:$B$6230,0)),"",INDIRECT("'SorP'!$A$"&amp;MATCH($J923,SorP!$B$1:$B$6230,0))))</f>
        <v/>
      </c>
      <c r="U923" s="238"/>
      <c r="V923" s="270" t="e">
        <f>IF(C923="",NA(),MATCH($B923&amp;$C923,'Smelter Look-up'!$J:$J,0))</f>
        <v>#N/A</v>
      </c>
      <c r="W923" s="271"/>
      <c r="X923" s="271">
        <f t="shared" ca="1" si="154"/>
        <v>0</v>
      </c>
      <c r="Y923" s="271"/>
      <c r="Z923" s="271"/>
      <c r="AB923" s="273" t="str">
        <f t="shared" si="155"/>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ca="1" si="153"/>
        <v/>
      </c>
      <c r="T924" s="222" t="str">
        <f ca="1">IF(B924="","",IF(ISERROR(MATCH($J924,SorP!$B$1:$B$6230,0)),"",INDIRECT("'SorP'!$A$"&amp;MATCH($J924,SorP!$B$1:$B$6230,0))))</f>
        <v/>
      </c>
      <c r="U924" s="238"/>
      <c r="V924" s="270" t="e">
        <f>IF(C924="",NA(),MATCH($B924&amp;$C924,'Smelter Look-up'!$J:$J,0))</f>
        <v>#N/A</v>
      </c>
      <c r="W924" s="271"/>
      <c r="X924" s="271">
        <f t="shared" ca="1" si="154"/>
        <v>0</v>
      </c>
      <c r="Y924" s="271"/>
      <c r="Z924" s="271"/>
      <c r="AB924" s="273" t="str">
        <f t="shared" si="155"/>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53"/>
        <v/>
      </c>
      <c r="T925" s="222" t="str">
        <f ca="1">IF(B925="","",IF(ISERROR(MATCH($J925,SorP!$B$1:$B$6230,0)),"",INDIRECT("'SorP'!$A$"&amp;MATCH($J925,SorP!$B$1:$B$6230,0))))</f>
        <v/>
      </c>
      <c r="U925" s="238"/>
      <c r="V925" s="270" t="e">
        <f>IF(C925="",NA(),MATCH($B925&amp;$C925,'Smelter Look-up'!$J:$J,0))</f>
        <v>#N/A</v>
      </c>
      <c r="W925" s="271"/>
      <c r="X925" s="271">
        <f t="shared" ca="1" si="154"/>
        <v>0</v>
      </c>
      <c r="Y925" s="271"/>
      <c r="Z925" s="271"/>
      <c r="AB925" s="273" t="str">
        <f t="shared" si="155"/>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53"/>
        <v/>
      </c>
      <c r="T926" s="222" t="str">
        <f ca="1">IF(B926="","",IF(ISERROR(MATCH($J926,SorP!$B$1:$B$6230,0)),"",INDIRECT("'SorP'!$A$"&amp;MATCH($J926,SorP!$B$1:$B$6230,0))))</f>
        <v/>
      </c>
      <c r="U926" s="238"/>
      <c r="V926" s="270" t="e">
        <f>IF(C926="",NA(),MATCH($B926&amp;$C926,'Smelter Look-up'!$J:$J,0))</f>
        <v>#N/A</v>
      </c>
      <c r="W926" s="271"/>
      <c r="X926" s="271">
        <f t="shared" ca="1" si="154"/>
        <v>0</v>
      </c>
      <c r="Y926" s="271"/>
      <c r="Z926" s="271"/>
      <c r="AB926" s="273" t="str">
        <f t="shared" si="155"/>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53"/>
        <v/>
      </c>
      <c r="T927" s="222" t="str">
        <f ca="1">IF(B927="","",IF(ISERROR(MATCH($J927,SorP!$B$1:$B$6230,0)),"",INDIRECT("'SorP'!$A$"&amp;MATCH($J927,SorP!$B$1:$B$6230,0))))</f>
        <v/>
      </c>
      <c r="U927" s="238"/>
      <c r="V927" s="270" t="e">
        <f>IF(C927="",NA(),MATCH($B927&amp;$C927,'Smelter Look-up'!$J:$J,0))</f>
        <v>#N/A</v>
      </c>
      <c r="W927" s="271"/>
      <c r="X927" s="271">
        <f t="shared" ca="1" si="154"/>
        <v>0</v>
      </c>
      <c r="Y927" s="271"/>
      <c r="Z927" s="271"/>
      <c r="AB927" s="273" t="str">
        <f t="shared" si="155"/>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53"/>
        <v/>
      </c>
      <c r="T928" s="222" t="str">
        <f ca="1">IF(B928="","",IF(ISERROR(MATCH($J928,SorP!$B$1:$B$6230,0)),"",INDIRECT("'SorP'!$A$"&amp;MATCH($J928,SorP!$B$1:$B$6230,0))))</f>
        <v/>
      </c>
      <c r="U928" s="238"/>
      <c r="V928" s="270" t="e">
        <f>IF(C928="",NA(),MATCH($B928&amp;$C928,'Smelter Look-up'!$J:$J,0))</f>
        <v>#N/A</v>
      </c>
      <c r="W928" s="271"/>
      <c r="X928" s="271">
        <f t="shared" ca="1" si="154"/>
        <v>0</v>
      </c>
      <c r="Y928" s="271"/>
      <c r="Z928" s="271"/>
      <c r="AB928" s="273" t="str">
        <f t="shared" si="155"/>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53"/>
        <v/>
      </c>
      <c r="T929" s="222" t="str">
        <f ca="1">IF(B929="","",IF(ISERROR(MATCH($J929,SorP!$B$1:$B$6230,0)),"",INDIRECT("'SorP'!$A$"&amp;MATCH($J929,SorP!$B$1:$B$6230,0))))</f>
        <v/>
      </c>
      <c r="U929" s="238"/>
      <c r="V929" s="270" t="e">
        <f>IF(C929="",NA(),MATCH($B929&amp;$C929,'Smelter Look-up'!$J:$J,0))</f>
        <v>#N/A</v>
      </c>
      <c r="W929" s="271"/>
      <c r="X929" s="271">
        <f t="shared" ca="1" si="154"/>
        <v>0</v>
      </c>
      <c r="Y929" s="271"/>
      <c r="Z929" s="271"/>
      <c r="AB929" s="273" t="str">
        <f t="shared" si="155"/>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53"/>
        <v/>
      </c>
      <c r="T930" s="222" t="str">
        <f ca="1">IF(B930="","",IF(ISERROR(MATCH($J930,SorP!$B$1:$B$6230,0)),"",INDIRECT("'SorP'!$A$"&amp;MATCH($J930,SorP!$B$1:$B$6230,0))))</f>
        <v/>
      </c>
      <c r="U930" s="238"/>
      <c r="V930" s="270" t="e">
        <f>IF(C930="",NA(),MATCH($B930&amp;$C930,'Smelter Look-up'!$J:$J,0))</f>
        <v>#N/A</v>
      </c>
      <c r="W930" s="271"/>
      <c r="X930" s="271">
        <f t="shared" ca="1" si="154"/>
        <v>0</v>
      </c>
      <c r="Y930" s="271"/>
      <c r="Z930" s="271"/>
      <c r="AB930" s="273" t="str">
        <f t="shared" si="155"/>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53"/>
        <v/>
      </c>
      <c r="T931" s="222" t="str">
        <f ca="1">IF(B931="","",IF(ISERROR(MATCH($J931,SorP!$B$1:$B$6230,0)),"",INDIRECT("'SorP'!$A$"&amp;MATCH($J931,SorP!$B$1:$B$6230,0))))</f>
        <v/>
      </c>
      <c r="U931" s="238"/>
      <c r="V931" s="270" t="e">
        <f>IF(C931="",NA(),MATCH($B931&amp;$C931,'Smelter Look-up'!$J:$J,0))</f>
        <v>#N/A</v>
      </c>
      <c r="W931" s="271"/>
      <c r="X931" s="271">
        <f t="shared" ca="1" si="154"/>
        <v>0</v>
      </c>
      <c r="Y931" s="271"/>
      <c r="Z931" s="271"/>
      <c r="AB931" s="273" t="str">
        <f t="shared" si="155"/>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53"/>
        <v/>
      </c>
      <c r="T932" s="222" t="str">
        <f ca="1">IF(B932="","",IF(ISERROR(MATCH($J932,SorP!$B$1:$B$6230,0)),"",INDIRECT("'SorP'!$A$"&amp;MATCH($J932,SorP!$B$1:$B$6230,0))))</f>
        <v/>
      </c>
      <c r="U932" s="238"/>
      <c r="V932" s="270" t="e">
        <f>IF(C932="",NA(),MATCH($B932&amp;$C932,'Smelter Look-up'!$J:$J,0))</f>
        <v>#N/A</v>
      </c>
      <c r="W932" s="271"/>
      <c r="X932" s="271">
        <f t="shared" ca="1" si="154"/>
        <v>0</v>
      </c>
      <c r="Y932" s="271"/>
      <c r="Z932" s="271"/>
      <c r="AB932" s="273" t="str">
        <f t="shared" si="155"/>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53"/>
        <v/>
      </c>
      <c r="T933" s="222" t="str">
        <f ca="1">IF(B933="","",IF(ISERROR(MATCH($J933,SorP!$B$1:$B$6230,0)),"",INDIRECT("'SorP'!$A$"&amp;MATCH($J933,SorP!$B$1:$B$6230,0))))</f>
        <v/>
      </c>
      <c r="U933" s="238"/>
      <c r="V933" s="270" t="e">
        <f>IF(C933="",NA(),MATCH($B933&amp;$C933,'Smelter Look-up'!$J:$J,0))</f>
        <v>#N/A</v>
      </c>
      <c r="W933" s="271"/>
      <c r="X933" s="271">
        <f t="shared" ca="1" si="154"/>
        <v>0</v>
      </c>
      <c r="Y933" s="271"/>
      <c r="Z933" s="271"/>
      <c r="AB933" s="273" t="str">
        <f t="shared" si="155"/>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53"/>
        <v/>
      </c>
      <c r="T934" s="222" t="str">
        <f ca="1">IF(B934="","",IF(ISERROR(MATCH($J934,SorP!$B$1:$B$6230,0)),"",INDIRECT("'SorP'!$A$"&amp;MATCH($J934,SorP!$B$1:$B$6230,0))))</f>
        <v/>
      </c>
      <c r="U934" s="238"/>
      <c r="V934" s="270" t="e">
        <f>IF(C934="",NA(),MATCH($B934&amp;$C934,'Smelter Look-up'!$J:$J,0))</f>
        <v>#N/A</v>
      </c>
      <c r="W934" s="271"/>
      <c r="X934" s="271">
        <f t="shared" ca="1" si="154"/>
        <v>0</v>
      </c>
      <c r="Y934" s="271"/>
      <c r="Z934" s="271"/>
      <c r="AB934" s="273" t="str">
        <f t="shared" si="155"/>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53"/>
        <v/>
      </c>
      <c r="T935" s="222" t="str">
        <f ca="1">IF(B935="","",IF(ISERROR(MATCH($J935,SorP!$B$1:$B$6230,0)),"",INDIRECT("'SorP'!$A$"&amp;MATCH($J935,SorP!$B$1:$B$6230,0))))</f>
        <v/>
      </c>
      <c r="U935" s="238"/>
      <c r="V935" s="270" t="e">
        <f>IF(C935="",NA(),MATCH($B935&amp;$C935,'Smelter Look-up'!$J:$J,0))</f>
        <v>#N/A</v>
      </c>
      <c r="W935" s="271"/>
      <c r="X935" s="271">
        <f t="shared" ca="1" si="154"/>
        <v>0</v>
      </c>
      <c r="Y935" s="271"/>
      <c r="Z935" s="271"/>
      <c r="AB935" s="273" t="str">
        <f t="shared" si="155"/>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53"/>
        <v/>
      </c>
      <c r="T936" s="222" t="str">
        <f ca="1">IF(B936="","",IF(ISERROR(MATCH($J936,SorP!$B$1:$B$6230,0)),"",INDIRECT("'SorP'!$A$"&amp;MATCH($J936,SorP!$B$1:$B$6230,0))))</f>
        <v/>
      </c>
      <c r="U936" s="238"/>
      <c r="V936" s="270" t="e">
        <f>IF(C936="",NA(),MATCH($B936&amp;$C936,'Smelter Look-up'!$J:$J,0))</f>
        <v>#N/A</v>
      </c>
      <c r="W936" s="271"/>
      <c r="X936" s="271">
        <f t="shared" ca="1" si="154"/>
        <v>0</v>
      </c>
      <c r="Y936" s="271"/>
      <c r="Z936" s="271"/>
      <c r="AB936" s="273" t="str">
        <f t="shared" si="155"/>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53"/>
        <v/>
      </c>
      <c r="T937" s="222" t="str">
        <f ca="1">IF(B937="","",IF(ISERROR(MATCH($J937,SorP!$B$1:$B$6230,0)),"",INDIRECT("'SorP'!$A$"&amp;MATCH($J937,SorP!$B$1:$B$6230,0))))</f>
        <v/>
      </c>
      <c r="U937" s="238"/>
      <c r="V937" s="270" t="e">
        <f>IF(C937="",NA(),MATCH($B937&amp;$C937,'Smelter Look-up'!$J:$J,0))</f>
        <v>#N/A</v>
      </c>
      <c r="W937" s="271"/>
      <c r="X937" s="271">
        <f t="shared" ca="1" si="154"/>
        <v>0</v>
      </c>
      <c r="Y937" s="271"/>
      <c r="Z937" s="271"/>
      <c r="AB937" s="273" t="str">
        <f t="shared" si="155"/>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53"/>
        <v/>
      </c>
      <c r="T938" s="222" t="str">
        <f ca="1">IF(B938="","",IF(ISERROR(MATCH($J938,SorP!$B$1:$B$6230,0)),"",INDIRECT("'SorP'!$A$"&amp;MATCH($J938,SorP!$B$1:$B$6230,0))))</f>
        <v/>
      </c>
      <c r="U938" s="238"/>
      <c r="V938" s="270" t="e">
        <f>IF(C938="",NA(),MATCH($B938&amp;$C938,'Smelter Look-up'!$J:$J,0))</f>
        <v>#N/A</v>
      </c>
      <c r="W938" s="271"/>
      <c r="X938" s="271">
        <f t="shared" ca="1" si="154"/>
        <v>0</v>
      </c>
      <c r="Y938" s="271"/>
      <c r="Z938" s="271"/>
      <c r="AB938" s="273" t="str">
        <f t="shared" si="155"/>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53"/>
        <v/>
      </c>
      <c r="T939" s="222" t="str">
        <f ca="1">IF(B939="","",IF(ISERROR(MATCH($J939,SorP!$B$1:$B$6230,0)),"",INDIRECT("'SorP'!$A$"&amp;MATCH($J939,SorP!$B$1:$B$6230,0))))</f>
        <v/>
      </c>
      <c r="U939" s="238"/>
      <c r="V939" s="270" t="e">
        <f>IF(C939="",NA(),MATCH($B939&amp;$C939,'Smelter Look-up'!$J:$J,0))</f>
        <v>#N/A</v>
      </c>
      <c r="W939" s="271"/>
      <c r="X939" s="271">
        <f t="shared" ca="1" si="154"/>
        <v>0</v>
      </c>
      <c r="Y939" s="271"/>
      <c r="Z939" s="271"/>
      <c r="AB939" s="273" t="str">
        <f t="shared" si="155"/>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53"/>
        <v/>
      </c>
      <c r="T940" s="222" t="str">
        <f ca="1">IF(B940="","",IF(ISERROR(MATCH($J940,SorP!$B$1:$B$6230,0)),"",INDIRECT("'SorP'!$A$"&amp;MATCH($J940,SorP!$B$1:$B$6230,0))))</f>
        <v/>
      </c>
      <c r="U940" s="238"/>
      <c r="V940" s="270" t="e">
        <f>IF(C940="",NA(),MATCH($B940&amp;$C940,'Smelter Look-up'!$J:$J,0))</f>
        <v>#N/A</v>
      </c>
      <c r="W940" s="271"/>
      <c r="X940" s="271">
        <f t="shared" ca="1" si="154"/>
        <v>0</v>
      </c>
      <c r="Y940" s="271"/>
      <c r="Z940" s="271"/>
      <c r="AB940" s="273" t="str">
        <f t="shared" si="155"/>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53"/>
        <v/>
      </c>
      <c r="T941" s="222" t="str">
        <f ca="1">IF(B941="","",IF(ISERROR(MATCH($J941,SorP!$B$1:$B$6230,0)),"",INDIRECT("'SorP'!$A$"&amp;MATCH($J941,SorP!$B$1:$B$6230,0))))</f>
        <v/>
      </c>
      <c r="U941" s="238"/>
      <c r="V941" s="270" t="e">
        <f>IF(C941="",NA(),MATCH($B941&amp;$C941,'Smelter Look-up'!$J:$J,0))</f>
        <v>#N/A</v>
      </c>
      <c r="W941" s="271"/>
      <c r="X941" s="271">
        <f t="shared" ca="1" si="154"/>
        <v>0</v>
      </c>
      <c r="Y941" s="271"/>
      <c r="Z941" s="271"/>
      <c r="AB941" s="273" t="str">
        <f t="shared" si="155"/>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53"/>
        <v/>
      </c>
      <c r="T942" s="222" t="str">
        <f ca="1">IF(B942="","",IF(ISERROR(MATCH($J942,SorP!$B$1:$B$6230,0)),"",INDIRECT("'SorP'!$A$"&amp;MATCH($J942,SorP!$B$1:$B$6230,0))))</f>
        <v/>
      </c>
      <c r="U942" s="238"/>
      <c r="V942" s="270" t="e">
        <f>IF(C942="",NA(),MATCH($B942&amp;$C942,'Smelter Look-up'!$J:$J,0))</f>
        <v>#N/A</v>
      </c>
      <c r="W942" s="271"/>
      <c r="X942" s="271">
        <f t="shared" ca="1" si="154"/>
        <v>0</v>
      </c>
      <c r="Y942" s="271"/>
      <c r="Z942" s="271"/>
      <c r="AB942" s="273" t="str">
        <f t="shared" si="155"/>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53"/>
        <v/>
      </c>
      <c r="T943" s="222" t="str">
        <f ca="1">IF(B943="","",IF(ISERROR(MATCH($J943,SorP!$B$1:$B$6230,0)),"",INDIRECT("'SorP'!$A$"&amp;MATCH($J943,SorP!$B$1:$B$6230,0))))</f>
        <v/>
      </c>
      <c r="U943" s="238"/>
      <c r="V943" s="270" t="e">
        <f>IF(C943="",NA(),MATCH($B943&amp;$C943,'Smelter Look-up'!$J:$J,0))</f>
        <v>#N/A</v>
      </c>
      <c r="W943" s="271"/>
      <c r="X943" s="271">
        <f t="shared" ca="1" si="154"/>
        <v>0</v>
      </c>
      <c r="Y943" s="271"/>
      <c r="Z943" s="271"/>
      <c r="AB943" s="273" t="str">
        <f t="shared" si="155"/>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53"/>
        <v/>
      </c>
      <c r="T944" s="222" t="str">
        <f ca="1">IF(B944="","",IF(ISERROR(MATCH($J944,SorP!$B$1:$B$6230,0)),"",INDIRECT("'SorP'!$A$"&amp;MATCH($J944,SorP!$B$1:$B$6230,0))))</f>
        <v/>
      </c>
      <c r="U944" s="238"/>
      <c r="V944" s="270" t="e">
        <f>IF(C944="",NA(),MATCH($B944&amp;$C944,'Smelter Look-up'!$J:$J,0))</f>
        <v>#N/A</v>
      </c>
      <c r="W944" s="271"/>
      <c r="X944" s="271">
        <f t="shared" ca="1" si="154"/>
        <v>0</v>
      </c>
      <c r="Y944" s="271"/>
      <c r="Z944" s="271"/>
      <c r="AB944" s="273" t="str">
        <f t="shared" si="155"/>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53"/>
        <v/>
      </c>
      <c r="T945" s="222" t="str">
        <f ca="1">IF(B945="","",IF(ISERROR(MATCH($J945,SorP!$B$1:$B$6230,0)),"",INDIRECT("'SorP'!$A$"&amp;MATCH($J945,SorP!$B$1:$B$6230,0))))</f>
        <v/>
      </c>
      <c r="U945" s="238"/>
      <c r="V945" s="270" t="e">
        <f>IF(C945="",NA(),MATCH($B945&amp;$C945,'Smelter Look-up'!$J:$J,0))</f>
        <v>#N/A</v>
      </c>
      <c r="W945" s="271"/>
      <c r="X945" s="271">
        <f t="shared" ca="1" si="154"/>
        <v>0</v>
      </c>
      <c r="Y945" s="271"/>
      <c r="Z945" s="271"/>
      <c r="AB945" s="273" t="str">
        <f t="shared" si="155"/>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53"/>
        <v/>
      </c>
      <c r="T946" s="222" t="str">
        <f ca="1">IF(B946="","",IF(ISERROR(MATCH($J946,SorP!$B$1:$B$6230,0)),"",INDIRECT("'SorP'!$A$"&amp;MATCH($J946,SorP!$B$1:$B$6230,0))))</f>
        <v/>
      </c>
      <c r="U946" s="238"/>
      <c r="V946" s="270" t="e">
        <f>IF(C946="",NA(),MATCH($B946&amp;$C946,'Smelter Look-up'!$J:$J,0))</f>
        <v>#N/A</v>
      </c>
      <c r="W946" s="271"/>
      <c r="X946" s="271">
        <f t="shared" ca="1" si="154"/>
        <v>0</v>
      </c>
      <c r="Y946" s="271"/>
      <c r="Z946" s="271"/>
      <c r="AB946" s="273" t="str">
        <f t="shared" si="155"/>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53"/>
        <v/>
      </c>
      <c r="T947" s="222" t="str">
        <f ca="1">IF(B947="","",IF(ISERROR(MATCH($J947,SorP!$B$1:$B$6230,0)),"",INDIRECT("'SorP'!$A$"&amp;MATCH($J947,SorP!$B$1:$B$6230,0))))</f>
        <v/>
      </c>
      <c r="U947" s="238"/>
      <c r="V947" s="270" t="e">
        <f>IF(C947="",NA(),MATCH($B947&amp;$C947,'Smelter Look-up'!$J:$J,0))</f>
        <v>#N/A</v>
      </c>
      <c r="W947" s="271"/>
      <c r="X947" s="271">
        <f t="shared" ca="1" si="154"/>
        <v>0</v>
      </c>
      <c r="Y947" s="271"/>
      <c r="Z947" s="271"/>
      <c r="AB947" s="273" t="str">
        <f t="shared" si="155"/>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53"/>
        <v/>
      </c>
      <c r="T948" s="222" t="str">
        <f ca="1">IF(B948="","",IF(ISERROR(MATCH($J948,SorP!$B$1:$B$6230,0)),"",INDIRECT("'SorP'!$A$"&amp;MATCH($J948,SorP!$B$1:$B$6230,0))))</f>
        <v/>
      </c>
      <c r="U948" s="238"/>
      <c r="V948" s="270" t="e">
        <f>IF(C948="",NA(),MATCH($B948&amp;$C948,'Smelter Look-up'!$J:$J,0))</f>
        <v>#N/A</v>
      </c>
      <c r="W948" s="271"/>
      <c r="X948" s="271">
        <f t="shared" ca="1" si="154"/>
        <v>0</v>
      </c>
      <c r="Y948" s="271"/>
      <c r="Z948" s="271"/>
      <c r="AB948" s="273" t="str">
        <f t="shared" si="155"/>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53"/>
        <v/>
      </c>
      <c r="T949" s="222" t="str">
        <f ca="1">IF(B949="","",IF(ISERROR(MATCH($J949,SorP!$B$1:$B$6230,0)),"",INDIRECT("'SorP'!$A$"&amp;MATCH($J949,SorP!$B$1:$B$6230,0))))</f>
        <v/>
      </c>
      <c r="U949" s="238"/>
      <c r="V949" s="270" t="e">
        <f>IF(C949="",NA(),MATCH($B949&amp;$C949,'Smelter Look-up'!$J:$J,0))</f>
        <v>#N/A</v>
      </c>
      <c r="W949" s="271"/>
      <c r="X949" s="271">
        <f t="shared" ca="1" si="154"/>
        <v>0</v>
      </c>
      <c r="Y949" s="271"/>
      <c r="Z949" s="271"/>
      <c r="AB949" s="273" t="str">
        <f t="shared" si="155"/>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53"/>
        <v/>
      </c>
      <c r="T950" s="222" t="str">
        <f ca="1">IF(B950="","",IF(ISERROR(MATCH($J950,SorP!$B$1:$B$6230,0)),"",INDIRECT("'SorP'!$A$"&amp;MATCH($J950,SorP!$B$1:$B$6230,0))))</f>
        <v/>
      </c>
      <c r="U950" s="238"/>
      <c r="V950" s="270" t="e">
        <f>IF(C950="",NA(),MATCH($B950&amp;$C950,'Smelter Look-up'!$J:$J,0))</f>
        <v>#N/A</v>
      </c>
      <c r="W950" s="271"/>
      <c r="X950" s="271">
        <f t="shared" ca="1" si="154"/>
        <v>0</v>
      </c>
      <c r="Y950" s="271"/>
      <c r="Z950" s="271"/>
      <c r="AB950" s="273" t="str">
        <f t="shared" si="155"/>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53"/>
        <v/>
      </c>
      <c r="T951" s="222" t="str">
        <f ca="1">IF(B951="","",IF(ISERROR(MATCH($J951,SorP!$B$1:$B$6230,0)),"",INDIRECT("'SorP'!$A$"&amp;MATCH($J951,SorP!$B$1:$B$6230,0))))</f>
        <v/>
      </c>
      <c r="U951" s="238"/>
      <c r="V951" s="270" t="e">
        <f>IF(C951="",NA(),MATCH($B951&amp;$C951,'Smelter Look-up'!$J:$J,0))</f>
        <v>#N/A</v>
      </c>
      <c r="W951" s="271"/>
      <c r="X951" s="271">
        <f t="shared" ca="1" si="154"/>
        <v>0</v>
      </c>
      <c r="Y951" s="271"/>
      <c r="Z951" s="271"/>
      <c r="AB951" s="273" t="str">
        <f t="shared" si="155"/>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53"/>
        <v/>
      </c>
      <c r="T952" s="222" t="str">
        <f ca="1">IF(B952="","",IF(ISERROR(MATCH($J952,SorP!$B$1:$B$6230,0)),"",INDIRECT("'SorP'!$A$"&amp;MATCH($J952,SorP!$B$1:$B$6230,0))))</f>
        <v/>
      </c>
      <c r="U952" s="238"/>
      <c r="V952" s="270" t="e">
        <f>IF(C952="",NA(),MATCH($B952&amp;$C952,'Smelter Look-up'!$J:$J,0))</f>
        <v>#N/A</v>
      </c>
      <c r="W952" s="271"/>
      <c r="X952" s="271">
        <f t="shared" ca="1" si="154"/>
        <v>0</v>
      </c>
      <c r="Y952" s="271"/>
      <c r="Z952" s="271"/>
      <c r="AB952" s="273" t="str">
        <f t="shared" si="155"/>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ref="S953:S983" ca="1" si="156">IF(B953="","",IF(ISERROR(MATCH($E953,CL,0)),"Unknown",INDIRECT("'C'!$A$"&amp;MATCH($E953,CL,0)+1)))</f>
        <v/>
      </c>
      <c r="T953" s="222" t="str">
        <f ca="1">IF(B953="","",IF(ISERROR(MATCH($J953,SorP!$B$1:$B$6230,0)),"",INDIRECT("'SorP'!$A$"&amp;MATCH($J953,SorP!$B$1:$B$6230,0))))</f>
        <v/>
      </c>
      <c r="U953" s="238"/>
      <c r="V953" s="270" t="e">
        <f>IF(C953="",NA(),MATCH($B953&amp;$C953,'Smelter Look-up'!$J:$J,0))</f>
        <v>#N/A</v>
      </c>
      <c r="W953" s="271"/>
      <c r="X953" s="271">
        <f t="shared" ref="X953:X983" ca="1" si="157">IF(AND(C953="Smelter not listed",OR(LEN(D953)=0,LEN(E953)=0)),1,0)</f>
        <v>0</v>
      </c>
      <c r="Y953" s="271"/>
      <c r="Z953" s="271"/>
      <c r="AB953" s="273" t="str">
        <f t="shared" ref="AB953:AB983" si="158">B953&amp;C953</f>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56"/>
        <v/>
      </c>
      <c r="T954" s="222" t="str">
        <f ca="1">IF(B954="","",IF(ISERROR(MATCH($J954,SorP!$B$1:$B$6230,0)),"",INDIRECT("'SorP'!$A$"&amp;MATCH($J954,SorP!$B$1:$B$6230,0))))</f>
        <v/>
      </c>
      <c r="U954" s="238"/>
      <c r="V954" s="270" t="e">
        <f>IF(C954="",NA(),MATCH($B954&amp;$C954,'Smelter Look-up'!$J:$J,0))</f>
        <v>#N/A</v>
      </c>
      <c r="W954" s="271"/>
      <c r="X954" s="271">
        <f t="shared" ca="1" si="157"/>
        <v>0</v>
      </c>
      <c r="Y954" s="271"/>
      <c r="Z954" s="271"/>
      <c r="AB954" s="273" t="str">
        <f t="shared" si="158"/>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ca="1" si="156"/>
        <v/>
      </c>
      <c r="T955" s="222" t="str">
        <f ca="1">IF(B955="","",IF(ISERROR(MATCH($J955,SorP!$B$1:$B$6230,0)),"",INDIRECT("'SorP'!$A$"&amp;MATCH($J955,SorP!$B$1:$B$6230,0))))</f>
        <v/>
      </c>
      <c r="U955" s="238"/>
      <c r="V955" s="270" t="e">
        <f>IF(C955="",NA(),MATCH($B955&amp;$C955,'Smelter Look-up'!$J:$J,0))</f>
        <v>#N/A</v>
      </c>
      <c r="W955" s="271"/>
      <c r="X955" s="271">
        <f t="shared" ca="1" si="157"/>
        <v>0</v>
      </c>
      <c r="Y955" s="271"/>
      <c r="Z955" s="271"/>
      <c r="AB955" s="273" t="str">
        <f t="shared" si="158"/>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ca="1" si="156"/>
        <v/>
      </c>
      <c r="T956" s="222" t="str">
        <f ca="1">IF(B956="","",IF(ISERROR(MATCH($J956,SorP!$B$1:$B$6230,0)),"",INDIRECT("'SorP'!$A$"&amp;MATCH($J956,SorP!$B$1:$B$6230,0))))</f>
        <v/>
      </c>
      <c r="U956" s="238"/>
      <c r="V956" s="270" t="e">
        <f>IF(C956="",NA(),MATCH($B956&amp;$C956,'Smelter Look-up'!$J:$J,0))</f>
        <v>#N/A</v>
      </c>
      <c r="W956" s="271"/>
      <c r="X956" s="271">
        <f t="shared" ca="1" si="157"/>
        <v>0</v>
      </c>
      <c r="Y956" s="271"/>
      <c r="Z956" s="271"/>
      <c r="AB956" s="273" t="str">
        <f t="shared" si="158"/>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56"/>
        <v/>
      </c>
      <c r="T957" s="222" t="str">
        <f ca="1">IF(B957="","",IF(ISERROR(MATCH($J957,SorP!$B$1:$B$6230,0)),"",INDIRECT("'SorP'!$A$"&amp;MATCH($J957,SorP!$B$1:$B$6230,0))))</f>
        <v/>
      </c>
      <c r="U957" s="238"/>
      <c r="V957" s="270" t="e">
        <f>IF(C957="",NA(),MATCH($B957&amp;$C957,'Smelter Look-up'!$J:$J,0))</f>
        <v>#N/A</v>
      </c>
      <c r="W957" s="271"/>
      <c r="X957" s="271">
        <f t="shared" ca="1" si="157"/>
        <v>0</v>
      </c>
      <c r="Y957" s="271"/>
      <c r="Z957" s="271"/>
      <c r="AB957" s="273" t="str">
        <f t="shared" si="158"/>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56"/>
        <v/>
      </c>
      <c r="T958" s="222" t="str">
        <f ca="1">IF(B958="","",IF(ISERROR(MATCH($J958,SorP!$B$1:$B$6230,0)),"",INDIRECT("'SorP'!$A$"&amp;MATCH($J958,SorP!$B$1:$B$6230,0))))</f>
        <v/>
      </c>
      <c r="U958" s="238"/>
      <c r="V958" s="270" t="e">
        <f>IF(C958="",NA(),MATCH($B958&amp;$C958,'Smelter Look-up'!$J:$J,0))</f>
        <v>#N/A</v>
      </c>
      <c r="W958" s="271"/>
      <c r="X958" s="271">
        <f t="shared" ca="1" si="157"/>
        <v>0</v>
      </c>
      <c r="Y958" s="271"/>
      <c r="Z958" s="271"/>
      <c r="AB958" s="273" t="str">
        <f t="shared" si="158"/>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56"/>
        <v/>
      </c>
      <c r="T959" s="222" t="str">
        <f ca="1">IF(B959="","",IF(ISERROR(MATCH($J959,SorP!$B$1:$B$6230,0)),"",INDIRECT("'SorP'!$A$"&amp;MATCH($J959,SorP!$B$1:$B$6230,0))))</f>
        <v/>
      </c>
      <c r="U959" s="238"/>
      <c r="V959" s="270" t="e">
        <f>IF(C959="",NA(),MATCH($B959&amp;$C959,'Smelter Look-up'!$J:$J,0))</f>
        <v>#N/A</v>
      </c>
      <c r="W959" s="271"/>
      <c r="X959" s="271">
        <f t="shared" ca="1" si="157"/>
        <v>0</v>
      </c>
      <c r="Y959" s="271"/>
      <c r="Z959" s="271"/>
      <c r="AB959" s="273" t="str">
        <f t="shared" si="158"/>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56"/>
        <v/>
      </c>
      <c r="T960" s="222" t="str">
        <f ca="1">IF(B960="","",IF(ISERROR(MATCH($J960,SorP!$B$1:$B$6230,0)),"",INDIRECT("'SorP'!$A$"&amp;MATCH($J960,SorP!$B$1:$B$6230,0))))</f>
        <v/>
      </c>
      <c r="U960" s="238"/>
      <c r="V960" s="270" t="e">
        <f>IF(C960="",NA(),MATCH($B960&amp;$C960,'Smelter Look-up'!$J:$J,0))</f>
        <v>#N/A</v>
      </c>
      <c r="W960" s="271"/>
      <c r="X960" s="271">
        <f t="shared" ca="1" si="157"/>
        <v>0</v>
      </c>
      <c r="Y960" s="271"/>
      <c r="Z960" s="271"/>
      <c r="AB960" s="273" t="str">
        <f t="shared" si="158"/>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56"/>
        <v/>
      </c>
      <c r="T961" s="222" t="str">
        <f ca="1">IF(B961="","",IF(ISERROR(MATCH($J961,SorP!$B$1:$B$6230,0)),"",INDIRECT("'SorP'!$A$"&amp;MATCH($J961,SorP!$B$1:$B$6230,0))))</f>
        <v/>
      </c>
      <c r="U961" s="238"/>
      <c r="V961" s="270" t="e">
        <f>IF(C961="",NA(),MATCH($B961&amp;$C961,'Smelter Look-up'!$J:$J,0))</f>
        <v>#N/A</v>
      </c>
      <c r="W961" s="271"/>
      <c r="X961" s="271">
        <f t="shared" ca="1" si="157"/>
        <v>0</v>
      </c>
      <c r="Y961" s="271"/>
      <c r="Z961" s="271"/>
      <c r="AB961" s="273" t="str">
        <f t="shared" si="158"/>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56"/>
        <v/>
      </c>
      <c r="T962" s="222" t="str">
        <f ca="1">IF(B962="","",IF(ISERROR(MATCH($J962,SorP!$B$1:$B$6230,0)),"",INDIRECT("'SorP'!$A$"&amp;MATCH($J962,SorP!$B$1:$B$6230,0))))</f>
        <v/>
      </c>
      <c r="U962" s="238"/>
      <c r="V962" s="270" t="e">
        <f>IF(C962="",NA(),MATCH($B962&amp;$C962,'Smelter Look-up'!$J:$J,0))</f>
        <v>#N/A</v>
      </c>
      <c r="W962" s="271"/>
      <c r="X962" s="271">
        <f t="shared" ca="1" si="157"/>
        <v>0</v>
      </c>
      <c r="Y962" s="271"/>
      <c r="Z962" s="271"/>
      <c r="AB962" s="273" t="str">
        <f t="shared" si="158"/>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56"/>
        <v/>
      </c>
      <c r="T963" s="222" t="str">
        <f ca="1">IF(B963="","",IF(ISERROR(MATCH($J963,SorP!$B$1:$B$6230,0)),"",INDIRECT("'SorP'!$A$"&amp;MATCH($J963,SorP!$B$1:$B$6230,0))))</f>
        <v/>
      </c>
      <c r="U963" s="238"/>
      <c r="V963" s="270" t="e">
        <f>IF(C963="",NA(),MATCH($B963&amp;$C963,'Smelter Look-up'!$J:$J,0))</f>
        <v>#N/A</v>
      </c>
      <c r="W963" s="271"/>
      <c r="X963" s="271">
        <f t="shared" ca="1" si="157"/>
        <v>0</v>
      </c>
      <c r="Y963" s="271"/>
      <c r="Z963" s="271"/>
      <c r="AB963" s="273" t="str">
        <f t="shared" si="158"/>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56"/>
        <v/>
      </c>
      <c r="T964" s="222" t="str">
        <f ca="1">IF(B964="","",IF(ISERROR(MATCH($J964,SorP!$B$1:$B$6230,0)),"",INDIRECT("'SorP'!$A$"&amp;MATCH($J964,SorP!$B$1:$B$6230,0))))</f>
        <v/>
      </c>
      <c r="U964" s="238"/>
      <c r="V964" s="270" t="e">
        <f>IF(C964="",NA(),MATCH($B964&amp;$C964,'Smelter Look-up'!$J:$J,0))</f>
        <v>#N/A</v>
      </c>
      <c r="W964" s="271"/>
      <c r="X964" s="271">
        <f t="shared" ca="1" si="157"/>
        <v>0</v>
      </c>
      <c r="Y964" s="271"/>
      <c r="Z964" s="271"/>
      <c r="AB964" s="273" t="str">
        <f t="shared" si="158"/>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56"/>
        <v/>
      </c>
      <c r="T965" s="222" t="str">
        <f ca="1">IF(B965="","",IF(ISERROR(MATCH($J965,SorP!$B$1:$B$6230,0)),"",INDIRECT("'SorP'!$A$"&amp;MATCH($J965,SorP!$B$1:$B$6230,0))))</f>
        <v/>
      </c>
      <c r="U965" s="238"/>
      <c r="V965" s="270" t="e">
        <f>IF(C965="",NA(),MATCH($B965&amp;$C965,'Smelter Look-up'!$J:$J,0))</f>
        <v>#N/A</v>
      </c>
      <c r="W965" s="271"/>
      <c r="X965" s="271">
        <f t="shared" ca="1" si="157"/>
        <v>0</v>
      </c>
      <c r="Y965" s="271"/>
      <c r="Z965" s="271"/>
      <c r="AB965" s="273" t="str">
        <f t="shared" si="158"/>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56"/>
        <v/>
      </c>
      <c r="T966" s="222" t="str">
        <f ca="1">IF(B966="","",IF(ISERROR(MATCH($J966,SorP!$B$1:$B$6230,0)),"",INDIRECT("'SorP'!$A$"&amp;MATCH($J966,SorP!$B$1:$B$6230,0))))</f>
        <v/>
      </c>
      <c r="U966" s="238"/>
      <c r="V966" s="270" t="e">
        <f>IF(C966="",NA(),MATCH($B966&amp;$C966,'Smelter Look-up'!$J:$J,0))</f>
        <v>#N/A</v>
      </c>
      <c r="W966" s="271"/>
      <c r="X966" s="271">
        <f t="shared" ca="1" si="157"/>
        <v>0</v>
      </c>
      <c r="Y966" s="271"/>
      <c r="Z966" s="271"/>
      <c r="AB966" s="273" t="str">
        <f t="shared" si="158"/>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56"/>
        <v/>
      </c>
      <c r="T967" s="222" t="str">
        <f ca="1">IF(B967="","",IF(ISERROR(MATCH($J967,SorP!$B$1:$B$6230,0)),"",INDIRECT("'SorP'!$A$"&amp;MATCH($J967,SorP!$B$1:$B$6230,0))))</f>
        <v/>
      </c>
      <c r="U967" s="238"/>
      <c r="V967" s="270" t="e">
        <f>IF(C967="",NA(),MATCH($B967&amp;$C967,'Smelter Look-up'!$J:$J,0))</f>
        <v>#N/A</v>
      </c>
      <c r="W967" s="271"/>
      <c r="X967" s="271">
        <f t="shared" ca="1" si="157"/>
        <v>0</v>
      </c>
      <c r="Y967" s="271"/>
      <c r="Z967" s="271"/>
      <c r="AB967" s="273" t="str">
        <f t="shared" si="158"/>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56"/>
        <v/>
      </c>
      <c r="T968" s="222" t="str">
        <f ca="1">IF(B968="","",IF(ISERROR(MATCH($J968,SorP!$B$1:$B$6230,0)),"",INDIRECT("'SorP'!$A$"&amp;MATCH($J968,SorP!$B$1:$B$6230,0))))</f>
        <v/>
      </c>
      <c r="U968" s="238"/>
      <c r="V968" s="270" t="e">
        <f>IF(C968="",NA(),MATCH($B968&amp;$C968,'Smelter Look-up'!$J:$J,0))</f>
        <v>#N/A</v>
      </c>
      <c r="W968" s="271"/>
      <c r="X968" s="271">
        <f t="shared" ca="1" si="157"/>
        <v>0</v>
      </c>
      <c r="Y968" s="271"/>
      <c r="Z968" s="271"/>
      <c r="AB968" s="273" t="str">
        <f t="shared" si="158"/>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56"/>
        <v/>
      </c>
      <c r="T969" s="222" t="str">
        <f ca="1">IF(B969="","",IF(ISERROR(MATCH($J969,SorP!$B$1:$B$6230,0)),"",INDIRECT("'SorP'!$A$"&amp;MATCH($J969,SorP!$B$1:$B$6230,0))))</f>
        <v/>
      </c>
      <c r="U969" s="238"/>
      <c r="V969" s="270" t="e">
        <f>IF(C969="",NA(),MATCH($B969&amp;$C969,'Smelter Look-up'!$J:$J,0))</f>
        <v>#N/A</v>
      </c>
      <c r="W969" s="271"/>
      <c r="X969" s="271">
        <f t="shared" ca="1" si="157"/>
        <v>0</v>
      </c>
      <c r="Y969" s="271"/>
      <c r="Z969" s="271"/>
      <c r="AB969" s="273" t="str">
        <f t="shared" si="158"/>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56"/>
        <v/>
      </c>
      <c r="T970" s="222" t="str">
        <f ca="1">IF(B970="","",IF(ISERROR(MATCH($J970,SorP!$B$1:$B$6230,0)),"",INDIRECT("'SorP'!$A$"&amp;MATCH($J970,SorP!$B$1:$B$6230,0))))</f>
        <v/>
      </c>
      <c r="U970" s="238"/>
      <c r="V970" s="270" t="e">
        <f>IF(C970="",NA(),MATCH($B970&amp;$C970,'Smelter Look-up'!$J:$J,0))</f>
        <v>#N/A</v>
      </c>
      <c r="W970" s="271"/>
      <c r="X970" s="271">
        <f t="shared" ca="1" si="157"/>
        <v>0</v>
      </c>
      <c r="Y970" s="271"/>
      <c r="Z970" s="271"/>
      <c r="AB970" s="273" t="str">
        <f t="shared" si="158"/>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56"/>
        <v/>
      </c>
      <c r="T971" s="222" t="str">
        <f ca="1">IF(B971="","",IF(ISERROR(MATCH($J971,SorP!$B$1:$B$6230,0)),"",INDIRECT("'SorP'!$A$"&amp;MATCH($J971,SorP!$B$1:$B$6230,0))))</f>
        <v/>
      </c>
      <c r="U971" s="238"/>
      <c r="V971" s="270" t="e">
        <f>IF(C971="",NA(),MATCH($B971&amp;$C971,'Smelter Look-up'!$J:$J,0))</f>
        <v>#N/A</v>
      </c>
      <c r="W971" s="271"/>
      <c r="X971" s="271">
        <f t="shared" ca="1" si="157"/>
        <v>0</v>
      </c>
      <c r="Y971" s="271"/>
      <c r="Z971" s="271"/>
      <c r="AB971" s="273" t="str">
        <f t="shared" si="158"/>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56"/>
        <v/>
      </c>
      <c r="T972" s="222" t="str">
        <f ca="1">IF(B972="","",IF(ISERROR(MATCH($J972,SorP!$B$1:$B$6230,0)),"",INDIRECT("'SorP'!$A$"&amp;MATCH($J972,SorP!$B$1:$B$6230,0))))</f>
        <v/>
      </c>
      <c r="U972" s="238"/>
      <c r="V972" s="270" t="e">
        <f>IF(C972="",NA(),MATCH($B972&amp;$C972,'Smelter Look-up'!$J:$J,0))</f>
        <v>#N/A</v>
      </c>
      <c r="W972" s="271"/>
      <c r="X972" s="271">
        <f t="shared" ca="1" si="157"/>
        <v>0</v>
      </c>
      <c r="Y972" s="271"/>
      <c r="Z972" s="271"/>
      <c r="AB972" s="273" t="str">
        <f t="shared" si="158"/>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56"/>
        <v/>
      </c>
      <c r="T973" s="222" t="str">
        <f ca="1">IF(B973="","",IF(ISERROR(MATCH($J973,SorP!$B$1:$B$6230,0)),"",INDIRECT("'SorP'!$A$"&amp;MATCH($J973,SorP!$B$1:$B$6230,0))))</f>
        <v/>
      </c>
      <c r="U973" s="238"/>
      <c r="V973" s="270" t="e">
        <f>IF(C973="",NA(),MATCH($B973&amp;$C973,'Smelter Look-up'!$J:$J,0))</f>
        <v>#N/A</v>
      </c>
      <c r="W973" s="271"/>
      <c r="X973" s="271">
        <f t="shared" ca="1" si="157"/>
        <v>0</v>
      </c>
      <c r="Y973" s="271"/>
      <c r="Z973" s="271"/>
      <c r="AB973" s="273" t="str">
        <f t="shared" si="158"/>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56"/>
        <v/>
      </c>
      <c r="T974" s="222" t="str">
        <f ca="1">IF(B974="","",IF(ISERROR(MATCH($J974,SorP!$B$1:$B$6230,0)),"",INDIRECT("'SorP'!$A$"&amp;MATCH($J974,SorP!$B$1:$B$6230,0))))</f>
        <v/>
      </c>
      <c r="U974" s="238"/>
      <c r="V974" s="270" t="e">
        <f>IF(C974="",NA(),MATCH($B974&amp;$C974,'Smelter Look-up'!$J:$J,0))</f>
        <v>#N/A</v>
      </c>
      <c r="W974" s="271"/>
      <c r="X974" s="271">
        <f t="shared" ca="1" si="157"/>
        <v>0</v>
      </c>
      <c r="Y974" s="271"/>
      <c r="Z974" s="271"/>
      <c r="AB974" s="273" t="str">
        <f t="shared" si="158"/>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56"/>
        <v/>
      </c>
      <c r="T975" s="222" t="str">
        <f ca="1">IF(B975="","",IF(ISERROR(MATCH($J975,SorP!$B$1:$B$6230,0)),"",INDIRECT("'SorP'!$A$"&amp;MATCH($J975,SorP!$B$1:$B$6230,0))))</f>
        <v/>
      </c>
      <c r="U975" s="238"/>
      <c r="V975" s="270" t="e">
        <f>IF(C975="",NA(),MATCH($B975&amp;$C975,'Smelter Look-up'!$J:$J,0))</f>
        <v>#N/A</v>
      </c>
      <c r="W975" s="271"/>
      <c r="X975" s="271">
        <f t="shared" ca="1" si="157"/>
        <v>0</v>
      </c>
      <c r="Y975" s="271"/>
      <c r="Z975" s="271"/>
      <c r="AB975" s="273" t="str">
        <f t="shared" si="158"/>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56"/>
        <v/>
      </c>
      <c r="T976" s="222" t="str">
        <f ca="1">IF(B976="","",IF(ISERROR(MATCH($J976,SorP!$B$1:$B$6230,0)),"",INDIRECT("'SorP'!$A$"&amp;MATCH($J976,SorP!$B$1:$B$6230,0))))</f>
        <v/>
      </c>
      <c r="U976" s="238"/>
      <c r="V976" s="270" t="e">
        <f>IF(C976="",NA(),MATCH($B976&amp;$C976,'Smelter Look-up'!$J:$J,0))</f>
        <v>#N/A</v>
      </c>
      <c r="W976" s="271"/>
      <c r="X976" s="271">
        <f t="shared" ca="1" si="157"/>
        <v>0</v>
      </c>
      <c r="Y976" s="271"/>
      <c r="Z976" s="271"/>
      <c r="AB976" s="273" t="str">
        <f t="shared" si="158"/>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56"/>
        <v/>
      </c>
      <c r="T977" s="222" t="str">
        <f ca="1">IF(B977="","",IF(ISERROR(MATCH($J977,SorP!$B$1:$B$6230,0)),"",INDIRECT("'SorP'!$A$"&amp;MATCH($J977,SorP!$B$1:$B$6230,0))))</f>
        <v/>
      </c>
      <c r="U977" s="238"/>
      <c r="V977" s="270" t="e">
        <f>IF(C977="",NA(),MATCH($B977&amp;$C977,'Smelter Look-up'!$J:$J,0))</f>
        <v>#N/A</v>
      </c>
      <c r="W977" s="271"/>
      <c r="X977" s="271">
        <f t="shared" ca="1" si="157"/>
        <v>0</v>
      </c>
      <c r="Y977" s="271"/>
      <c r="Z977" s="271"/>
      <c r="AB977" s="273" t="str">
        <f t="shared" si="158"/>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56"/>
        <v/>
      </c>
      <c r="T978" s="222" t="str">
        <f ca="1">IF(B978="","",IF(ISERROR(MATCH($J978,SorP!$B$1:$B$6230,0)),"",INDIRECT("'SorP'!$A$"&amp;MATCH($J978,SorP!$B$1:$B$6230,0))))</f>
        <v/>
      </c>
      <c r="U978" s="238"/>
      <c r="V978" s="270" t="e">
        <f>IF(C978="",NA(),MATCH($B978&amp;$C978,'Smelter Look-up'!$J:$J,0))</f>
        <v>#N/A</v>
      </c>
      <c r="W978" s="271"/>
      <c r="X978" s="271">
        <f t="shared" ca="1" si="157"/>
        <v>0</v>
      </c>
      <c r="Y978" s="271"/>
      <c r="Z978" s="271"/>
      <c r="AB978" s="273" t="str">
        <f t="shared" si="158"/>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56"/>
        <v/>
      </c>
      <c r="T979" s="222" t="str">
        <f ca="1">IF(B979="","",IF(ISERROR(MATCH($J979,SorP!$B$1:$B$6230,0)),"",INDIRECT("'SorP'!$A$"&amp;MATCH($J979,SorP!$B$1:$B$6230,0))))</f>
        <v/>
      </c>
      <c r="U979" s="238"/>
      <c r="V979" s="270" t="e">
        <f>IF(C979="",NA(),MATCH($B979&amp;$C979,'Smelter Look-up'!$J:$J,0))</f>
        <v>#N/A</v>
      </c>
      <c r="W979" s="271"/>
      <c r="X979" s="271">
        <f t="shared" ca="1" si="157"/>
        <v>0</v>
      </c>
      <c r="Y979" s="271"/>
      <c r="Z979" s="271"/>
      <c r="AB979" s="273" t="str">
        <f t="shared" si="158"/>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56"/>
        <v/>
      </c>
      <c r="T980" s="222" t="str">
        <f ca="1">IF(B980="","",IF(ISERROR(MATCH($J980,SorP!$B$1:$B$6230,0)),"",INDIRECT("'SorP'!$A$"&amp;MATCH($J980,SorP!$B$1:$B$6230,0))))</f>
        <v/>
      </c>
      <c r="U980" s="238"/>
      <c r="V980" s="270" t="e">
        <f>IF(C980="",NA(),MATCH($B980&amp;$C980,'Smelter Look-up'!$J:$J,0))</f>
        <v>#N/A</v>
      </c>
      <c r="W980" s="271"/>
      <c r="X980" s="271">
        <f t="shared" ca="1" si="157"/>
        <v>0</v>
      </c>
      <c r="Y980" s="271"/>
      <c r="Z980" s="271"/>
      <c r="AB980" s="273" t="str">
        <f t="shared" si="158"/>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56"/>
        <v/>
      </c>
      <c r="T981" s="222" t="str">
        <f ca="1">IF(B981="","",IF(ISERROR(MATCH($J981,SorP!$B$1:$B$6230,0)),"",INDIRECT("'SorP'!$A$"&amp;MATCH($J981,SorP!$B$1:$B$6230,0))))</f>
        <v/>
      </c>
      <c r="U981" s="238"/>
      <c r="V981" s="270" t="e">
        <f>IF(C981="",NA(),MATCH($B981&amp;$C981,'Smelter Look-up'!$J:$J,0))</f>
        <v>#N/A</v>
      </c>
      <c r="W981" s="271"/>
      <c r="X981" s="271">
        <f t="shared" ca="1" si="157"/>
        <v>0</v>
      </c>
      <c r="Y981" s="271"/>
      <c r="Z981" s="271"/>
      <c r="AB981" s="273" t="str">
        <f t="shared" si="158"/>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56"/>
        <v/>
      </c>
      <c r="T982" s="222" t="str">
        <f ca="1">IF(B982="","",IF(ISERROR(MATCH($J982,SorP!$B$1:$B$6230,0)),"",INDIRECT("'SorP'!$A$"&amp;MATCH($J982,SorP!$B$1:$B$6230,0))))</f>
        <v/>
      </c>
      <c r="U982" s="238"/>
      <c r="V982" s="270" t="e">
        <f>IF(C982="",NA(),MATCH($B982&amp;$C982,'Smelter Look-up'!$J:$J,0))</f>
        <v>#N/A</v>
      </c>
      <c r="W982" s="271"/>
      <c r="X982" s="271">
        <f t="shared" ca="1" si="157"/>
        <v>0</v>
      </c>
      <c r="Y982" s="271"/>
      <c r="Z982" s="271"/>
      <c r="AB982" s="273" t="str">
        <f t="shared" si="158"/>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56"/>
        <v/>
      </c>
      <c r="T983" s="222" t="str">
        <f ca="1">IF(B983="","",IF(ISERROR(MATCH($J983,SorP!$B$1:$B$6230,0)),"",INDIRECT("'SorP'!$A$"&amp;MATCH($J983,SorP!$B$1:$B$6230,0))))</f>
        <v/>
      </c>
      <c r="U983" s="238"/>
      <c r="V983" s="270" t="e">
        <f>IF(C983="",NA(),MATCH($B983&amp;$C983,'Smelter Look-up'!$J:$J,0))</f>
        <v>#N/A</v>
      </c>
      <c r="W983" s="271"/>
      <c r="X983" s="271">
        <f t="shared" ca="1" si="157"/>
        <v>0</v>
      </c>
      <c r="Y983" s="271"/>
      <c r="Z983" s="271"/>
      <c r="AB983" s="273" t="str">
        <f t="shared" si="158"/>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ref="S984" ca="1" si="159">IF(B984="","",IF(ISERROR(MATCH($E984,CL,0)),"Unknown",INDIRECT("'C'!$A$"&amp;MATCH($E984,CL,0)+1)))</f>
        <v/>
      </c>
      <c r="T984" s="222" t="str">
        <f ca="1">IF(B984="","",IF(ISERROR(MATCH($J984,SorP!$B$1:$B$6230,0)),"",INDIRECT("'SorP'!$A$"&amp;MATCH($J984,SorP!$B$1:$B$6230,0))))</f>
        <v/>
      </c>
      <c r="U984" s="238"/>
      <c r="V984" s="270" t="e">
        <f>IF(C984="",NA(),MATCH($B984&amp;$C984,'Smelter Look-up'!$J:$J,0))</f>
        <v>#N/A</v>
      </c>
      <c r="W984" s="271"/>
      <c r="X984" s="271">
        <f t="shared" ref="X984" ca="1" si="160">IF(AND(C984="Smelter not listed",OR(LEN(D984)=0,LEN(E984)=0)),1,0)</f>
        <v>0</v>
      </c>
      <c r="Y984" s="271"/>
      <c r="Z984" s="271"/>
      <c r="AB984" s="273" t="str">
        <f t="shared" ref="AB984" si="161">B984&amp;C984</f>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ref="S985:S1016" ca="1" si="162">IF(B985="","",IF(ISERROR(MATCH($E985,CL,0)),"Unknown",INDIRECT("'C'!$A$"&amp;MATCH($E985,CL,0)+1)))</f>
        <v/>
      </c>
      <c r="T985" s="222" t="str">
        <f ca="1">IF(B985="","",IF(ISERROR(MATCH($J985,SorP!$B$1:$B$6230,0)),"",INDIRECT("'SorP'!$A$"&amp;MATCH($J985,SorP!$B$1:$B$6230,0))))</f>
        <v/>
      </c>
      <c r="U985" s="238"/>
      <c r="V985" s="270" t="e">
        <f>IF(C985="",NA(),MATCH($B985&amp;$C985,'Smelter Look-up'!$J:$J,0))</f>
        <v>#N/A</v>
      </c>
      <c r="W985" s="271"/>
      <c r="X985" s="271">
        <f t="shared" ref="X985:X1016" ca="1" si="163">IF(AND(C985="Smelter not listed",OR(LEN(D985)=0,LEN(E985)=0)),1,0)</f>
        <v>0</v>
      </c>
      <c r="Y985" s="271"/>
      <c r="Z985" s="271"/>
      <c r="AB985" s="273" t="str">
        <f t="shared" ref="AB985:AB1016" si="164">B985&amp;C985</f>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62"/>
        <v/>
      </c>
      <c r="T986" s="222" t="str">
        <f ca="1">IF(B986="","",IF(ISERROR(MATCH($J986,SorP!$B$1:$B$6230,0)),"",INDIRECT("'SorP'!$A$"&amp;MATCH($J986,SorP!$B$1:$B$6230,0))))</f>
        <v/>
      </c>
      <c r="U986" s="238"/>
      <c r="V986" s="270" t="e">
        <f>IF(C986="",NA(),MATCH($B986&amp;$C986,'Smelter Look-up'!$J:$J,0))</f>
        <v>#N/A</v>
      </c>
      <c r="W986" s="271"/>
      <c r="X986" s="271">
        <f t="shared" ca="1" si="163"/>
        <v>0</v>
      </c>
      <c r="Y986" s="271"/>
      <c r="Z986" s="271"/>
      <c r="AB986" s="273" t="str">
        <f t="shared" si="164"/>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62"/>
        <v/>
      </c>
      <c r="T987" s="222" t="str">
        <f ca="1">IF(B987="","",IF(ISERROR(MATCH($J987,SorP!$B$1:$B$6230,0)),"",INDIRECT("'SorP'!$A$"&amp;MATCH($J987,SorP!$B$1:$B$6230,0))))</f>
        <v/>
      </c>
      <c r="U987" s="238"/>
      <c r="V987" s="270" t="e">
        <f>IF(C987="",NA(),MATCH($B987&amp;$C987,'Smelter Look-up'!$J:$J,0))</f>
        <v>#N/A</v>
      </c>
      <c r="W987" s="271"/>
      <c r="X987" s="271">
        <f t="shared" ca="1" si="163"/>
        <v>0</v>
      </c>
      <c r="Y987" s="271"/>
      <c r="Z987" s="271"/>
      <c r="AB987" s="273" t="str">
        <f t="shared" si="164"/>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ca="1" si="162"/>
        <v/>
      </c>
      <c r="T988" s="222" t="str">
        <f ca="1">IF(B988="","",IF(ISERROR(MATCH($J988,SorP!$B$1:$B$6230,0)),"",INDIRECT("'SorP'!$A$"&amp;MATCH($J988,SorP!$B$1:$B$6230,0))))</f>
        <v/>
      </c>
      <c r="U988" s="238"/>
      <c r="V988" s="270" t="e">
        <f>IF(C988="",NA(),MATCH($B988&amp;$C988,'Smelter Look-up'!$J:$J,0))</f>
        <v>#N/A</v>
      </c>
      <c r="W988" s="271"/>
      <c r="X988" s="271">
        <f t="shared" ca="1" si="163"/>
        <v>0</v>
      </c>
      <c r="Y988" s="271"/>
      <c r="Z988" s="271"/>
      <c r="AB988" s="273" t="str">
        <f t="shared" si="164"/>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62"/>
        <v/>
      </c>
      <c r="T989" s="222" t="str">
        <f ca="1">IF(B989="","",IF(ISERROR(MATCH($J989,SorP!$B$1:$B$6230,0)),"",INDIRECT("'SorP'!$A$"&amp;MATCH($J989,SorP!$B$1:$B$6230,0))))</f>
        <v/>
      </c>
      <c r="U989" s="238"/>
      <c r="V989" s="270" t="e">
        <f>IF(C989="",NA(),MATCH($B989&amp;$C989,'Smelter Look-up'!$J:$J,0))</f>
        <v>#N/A</v>
      </c>
      <c r="W989" s="271"/>
      <c r="X989" s="271">
        <f t="shared" ca="1" si="163"/>
        <v>0</v>
      </c>
      <c r="Y989" s="271"/>
      <c r="Z989" s="271"/>
      <c r="AB989" s="273" t="str">
        <f t="shared" si="164"/>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62"/>
        <v/>
      </c>
      <c r="T990" s="222" t="str">
        <f ca="1">IF(B990="","",IF(ISERROR(MATCH($J990,SorP!$B$1:$B$6230,0)),"",INDIRECT("'SorP'!$A$"&amp;MATCH($J990,SorP!$B$1:$B$6230,0))))</f>
        <v/>
      </c>
      <c r="U990" s="238"/>
      <c r="V990" s="270" t="e">
        <f>IF(C990="",NA(),MATCH($B990&amp;$C990,'Smelter Look-up'!$J:$J,0))</f>
        <v>#N/A</v>
      </c>
      <c r="W990" s="271"/>
      <c r="X990" s="271">
        <f t="shared" ca="1" si="163"/>
        <v>0</v>
      </c>
      <c r="Y990" s="271"/>
      <c r="Z990" s="271"/>
      <c r="AB990" s="273" t="str">
        <f t="shared" si="164"/>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62"/>
        <v/>
      </c>
      <c r="T991" s="222" t="str">
        <f ca="1">IF(B991="","",IF(ISERROR(MATCH($J991,SorP!$B$1:$B$6230,0)),"",INDIRECT("'SorP'!$A$"&amp;MATCH($J991,SorP!$B$1:$B$6230,0))))</f>
        <v/>
      </c>
      <c r="U991" s="238"/>
      <c r="V991" s="270" t="e">
        <f>IF(C991="",NA(),MATCH($B991&amp;$C991,'Smelter Look-up'!$J:$J,0))</f>
        <v>#N/A</v>
      </c>
      <c r="W991" s="271"/>
      <c r="X991" s="271">
        <f t="shared" ca="1" si="163"/>
        <v>0</v>
      </c>
      <c r="Y991" s="271"/>
      <c r="Z991" s="271"/>
      <c r="AB991" s="273" t="str">
        <f t="shared" si="164"/>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62"/>
        <v/>
      </c>
      <c r="T992" s="222" t="str">
        <f ca="1">IF(B992="","",IF(ISERROR(MATCH($J992,SorP!$B$1:$B$6230,0)),"",INDIRECT("'SorP'!$A$"&amp;MATCH($J992,SorP!$B$1:$B$6230,0))))</f>
        <v/>
      </c>
      <c r="U992" s="238"/>
      <c r="V992" s="270" t="e">
        <f>IF(C992="",NA(),MATCH($B992&amp;$C992,'Smelter Look-up'!$J:$J,0))</f>
        <v>#N/A</v>
      </c>
      <c r="W992" s="271"/>
      <c r="X992" s="271">
        <f t="shared" ca="1" si="163"/>
        <v>0</v>
      </c>
      <c r="Y992" s="271"/>
      <c r="Z992" s="271"/>
      <c r="AB992" s="273" t="str">
        <f t="shared" si="164"/>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62"/>
        <v/>
      </c>
      <c r="T993" s="222" t="str">
        <f ca="1">IF(B993="","",IF(ISERROR(MATCH($J993,SorP!$B$1:$B$6230,0)),"",INDIRECT("'SorP'!$A$"&amp;MATCH($J993,SorP!$B$1:$B$6230,0))))</f>
        <v/>
      </c>
      <c r="U993" s="238"/>
      <c r="V993" s="270" t="e">
        <f>IF(C993="",NA(),MATCH($B993&amp;$C993,'Smelter Look-up'!$J:$J,0))</f>
        <v>#N/A</v>
      </c>
      <c r="W993" s="271"/>
      <c r="X993" s="271">
        <f t="shared" ca="1" si="163"/>
        <v>0</v>
      </c>
      <c r="Y993" s="271"/>
      <c r="Z993" s="271"/>
      <c r="AB993" s="273" t="str">
        <f t="shared" si="164"/>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62"/>
        <v/>
      </c>
      <c r="T994" s="222" t="str">
        <f ca="1">IF(B994="","",IF(ISERROR(MATCH($J994,SorP!$B$1:$B$6230,0)),"",INDIRECT("'SorP'!$A$"&amp;MATCH($J994,SorP!$B$1:$B$6230,0))))</f>
        <v/>
      </c>
      <c r="U994" s="238"/>
      <c r="V994" s="270" t="e">
        <f>IF(C994="",NA(),MATCH($B994&amp;$C994,'Smelter Look-up'!$J:$J,0))</f>
        <v>#N/A</v>
      </c>
      <c r="W994" s="271"/>
      <c r="X994" s="271">
        <f t="shared" ca="1" si="163"/>
        <v>0</v>
      </c>
      <c r="Y994" s="271"/>
      <c r="Z994" s="271"/>
      <c r="AB994" s="273" t="str">
        <f t="shared" si="164"/>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62"/>
        <v/>
      </c>
      <c r="T995" s="222" t="str">
        <f ca="1">IF(B995="","",IF(ISERROR(MATCH($J995,SorP!$B$1:$B$6230,0)),"",INDIRECT("'SorP'!$A$"&amp;MATCH($J995,SorP!$B$1:$B$6230,0))))</f>
        <v/>
      </c>
      <c r="U995" s="238"/>
      <c r="V995" s="270" t="e">
        <f>IF(C995="",NA(),MATCH($B995&amp;$C995,'Smelter Look-up'!$J:$J,0))</f>
        <v>#N/A</v>
      </c>
      <c r="W995" s="271"/>
      <c r="X995" s="271">
        <f t="shared" ca="1" si="163"/>
        <v>0</v>
      </c>
      <c r="Y995" s="271"/>
      <c r="Z995" s="271"/>
      <c r="AB995" s="273" t="str">
        <f t="shared" si="164"/>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62"/>
        <v/>
      </c>
      <c r="T996" s="222" t="str">
        <f ca="1">IF(B996="","",IF(ISERROR(MATCH($J996,SorP!$B$1:$B$6230,0)),"",INDIRECT("'SorP'!$A$"&amp;MATCH($J996,SorP!$B$1:$B$6230,0))))</f>
        <v/>
      </c>
      <c r="U996" s="238"/>
      <c r="V996" s="270" t="e">
        <f>IF(C996="",NA(),MATCH($B996&amp;$C996,'Smelter Look-up'!$J:$J,0))</f>
        <v>#N/A</v>
      </c>
      <c r="W996" s="271"/>
      <c r="X996" s="271">
        <f t="shared" ca="1" si="163"/>
        <v>0</v>
      </c>
      <c r="Y996" s="271"/>
      <c r="Z996" s="271"/>
      <c r="AB996" s="273" t="str">
        <f t="shared" si="164"/>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62"/>
        <v/>
      </c>
      <c r="T997" s="222" t="str">
        <f ca="1">IF(B997="","",IF(ISERROR(MATCH($J997,SorP!$B$1:$B$6230,0)),"",INDIRECT("'SorP'!$A$"&amp;MATCH($J997,SorP!$B$1:$B$6230,0))))</f>
        <v/>
      </c>
      <c r="U997" s="238"/>
      <c r="V997" s="270" t="e">
        <f>IF(C997="",NA(),MATCH($B997&amp;$C997,'Smelter Look-up'!$J:$J,0))</f>
        <v>#N/A</v>
      </c>
      <c r="W997" s="271"/>
      <c r="X997" s="271">
        <f t="shared" ca="1" si="163"/>
        <v>0</v>
      </c>
      <c r="Y997" s="271"/>
      <c r="Z997" s="271"/>
      <c r="AB997" s="273" t="str">
        <f t="shared" si="164"/>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62"/>
        <v/>
      </c>
      <c r="T998" s="222" t="str">
        <f ca="1">IF(B998="","",IF(ISERROR(MATCH($J998,SorP!$B$1:$B$6230,0)),"",INDIRECT("'SorP'!$A$"&amp;MATCH($J998,SorP!$B$1:$B$6230,0))))</f>
        <v/>
      </c>
      <c r="U998" s="238"/>
      <c r="V998" s="270" t="e">
        <f>IF(C998="",NA(),MATCH($B998&amp;$C998,'Smelter Look-up'!$J:$J,0))</f>
        <v>#N/A</v>
      </c>
      <c r="W998" s="271"/>
      <c r="X998" s="271">
        <f t="shared" ca="1" si="163"/>
        <v>0</v>
      </c>
      <c r="Y998" s="271"/>
      <c r="Z998" s="271"/>
      <c r="AB998" s="273" t="str">
        <f t="shared" si="164"/>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62"/>
        <v/>
      </c>
      <c r="T999" s="222" t="str">
        <f ca="1">IF(B999="","",IF(ISERROR(MATCH($J999,SorP!$B$1:$B$6230,0)),"",INDIRECT("'SorP'!$A$"&amp;MATCH($J999,SorP!$B$1:$B$6230,0))))</f>
        <v/>
      </c>
      <c r="U999" s="238"/>
      <c r="V999" s="270" t="e">
        <f>IF(C999="",NA(),MATCH($B999&amp;$C999,'Smelter Look-up'!$J:$J,0))</f>
        <v>#N/A</v>
      </c>
      <c r="W999" s="271"/>
      <c r="X999" s="271">
        <f t="shared" ca="1" si="163"/>
        <v>0</v>
      </c>
      <c r="Y999" s="271"/>
      <c r="Z999" s="271"/>
      <c r="AB999" s="273" t="str">
        <f t="shared" si="164"/>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62"/>
        <v/>
      </c>
      <c r="T1000" s="222" t="str">
        <f ca="1">IF(B1000="","",IF(ISERROR(MATCH($J1000,SorP!$B$1:$B$6230,0)),"",INDIRECT("'SorP'!$A$"&amp;MATCH($J1000,SorP!$B$1:$B$6230,0))))</f>
        <v/>
      </c>
      <c r="U1000" s="238"/>
      <c r="V1000" s="270" t="e">
        <f>IF(C1000="",NA(),MATCH($B1000&amp;$C1000,'Smelter Look-up'!$J:$J,0))</f>
        <v>#N/A</v>
      </c>
      <c r="W1000" s="271"/>
      <c r="X1000" s="271">
        <f t="shared" ca="1" si="163"/>
        <v>0</v>
      </c>
      <c r="Y1000" s="271"/>
      <c r="Z1000" s="271"/>
      <c r="AB1000" s="273" t="str">
        <f t="shared" si="164"/>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62"/>
        <v/>
      </c>
      <c r="T1001" s="222" t="str">
        <f ca="1">IF(B1001="","",IF(ISERROR(MATCH($J1001,SorP!$B$1:$B$6230,0)),"",INDIRECT("'SorP'!$A$"&amp;MATCH($J1001,SorP!$B$1:$B$6230,0))))</f>
        <v/>
      </c>
      <c r="U1001" s="238"/>
      <c r="V1001" s="270" t="e">
        <f>IF(C1001="",NA(),MATCH($B1001&amp;$C1001,'Smelter Look-up'!$J:$J,0))</f>
        <v>#N/A</v>
      </c>
      <c r="W1001" s="271"/>
      <c r="X1001" s="271">
        <f t="shared" ca="1" si="163"/>
        <v>0</v>
      </c>
      <c r="Y1001" s="271"/>
      <c r="Z1001" s="271"/>
      <c r="AB1001" s="273" t="str">
        <f t="shared" si="164"/>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62"/>
        <v/>
      </c>
      <c r="T1002" s="222" t="str">
        <f ca="1">IF(B1002="","",IF(ISERROR(MATCH($J1002,SorP!$B$1:$B$6230,0)),"",INDIRECT("'SorP'!$A$"&amp;MATCH($J1002,SorP!$B$1:$B$6230,0))))</f>
        <v/>
      </c>
      <c r="U1002" s="238"/>
      <c r="V1002" s="270" t="e">
        <f>IF(C1002="",NA(),MATCH($B1002&amp;$C1002,'Smelter Look-up'!$J:$J,0))</f>
        <v>#N/A</v>
      </c>
      <c r="W1002" s="271"/>
      <c r="X1002" s="271">
        <f t="shared" ca="1" si="163"/>
        <v>0</v>
      </c>
      <c r="Y1002" s="271"/>
      <c r="Z1002" s="271"/>
      <c r="AB1002" s="273" t="str">
        <f t="shared" si="164"/>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62"/>
        <v/>
      </c>
      <c r="T1003" s="222" t="str">
        <f ca="1">IF(B1003="","",IF(ISERROR(MATCH($J1003,SorP!$B$1:$B$6230,0)),"",INDIRECT("'SorP'!$A$"&amp;MATCH($J1003,SorP!$B$1:$B$6230,0))))</f>
        <v/>
      </c>
      <c r="U1003" s="238"/>
      <c r="V1003" s="270" t="e">
        <f>IF(C1003="",NA(),MATCH($B1003&amp;$C1003,'Smelter Look-up'!$J:$J,0))</f>
        <v>#N/A</v>
      </c>
      <c r="W1003" s="271"/>
      <c r="X1003" s="271">
        <f t="shared" ca="1" si="163"/>
        <v>0</v>
      </c>
      <c r="Y1003" s="271"/>
      <c r="Z1003" s="271"/>
      <c r="AB1003" s="273" t="str">
        <f t="shared" si="164"/>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62"/>
        <v/>
      </c>
      <c r="T1004" s="222" t="str">
        <f ca="1">IF(B1004="","",IF(ISERROR(MATCH($J1004,SorP!$B$1:$B$6230,0)),"",INDIRECT("'SorP'!$A$"&amp;MATCH($J1004,SorP!$B$1:$B$6230,0))))</f>
        <v/>
      </c>
      <c r="U1004" s="238"/>
      <c r="V1004" s="270" t="e">
        <f>IF(C1004="",NA(),MATCH($B1004&amp;$C1004,'Smelter Look-up'!$J:$J,0))</f>
        <v>#N/A</v>
      </c>
      <c r="W1004" s="271"/>
      <c r="X1004" s="271">
        <f t="shared" ca="1" si="163"/>
        <v>0</v>
      </c>
      <c r="Y1004" s="271"/>
      <c r="Z1004" s="271"/>
      <c r="AB1004" s="273" t="str">
        <f t="shared" si="164"/>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62"/>
        <v/>
      </c>
      <c r="T1005" s="222" t="str">
        <f ca="1">IF(B1005="","",IF(ISERROR(MATCH($J1005,SorP!$B$1:$B$6230,0)),"",INDIRECT("'SorP'!$A$"&amp;MATCH($J1005,SorP!$B$1:$B$6230,0))))</f>
        <v/>
      </c>
      <c r="U1005" s="238"/>
      <c r="V1005" s="270" t="e">
        <f>IF(C1005="",NA(),MATCH($B1005&amp;$C1005,'Smelter Look-up'!$J:$J,0))</f>
        <v>#N/A</v>
      </c>
      <c r="W1005" s="271"/>
      <c r="X1005" s="271">
        <f t="shared" ca="1" si="163"/>
        <v>0</v>
      </c>
      <c r="Y1005" s="271"/>
      <c r="Z1005" s="271"/>
      <c r="AB1005" s="273" t="str">
        <f t="shared" si="164"/>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62"/>
        <v/>
      </c>
      <c r="T1006" s="222" t="str">
        <f ca="1">IF(B1006="","",IF(ISERROR(MATCH($J1006,SorP!$B$1:$B$6230,0)),"",INDIRECT("'SorP'!$A$"&amp;MATCH($J1006,SorP!$B$1:$B$6230,0))))</f>
        <v/>
      </c>
      <c r="U1006" s="238"/>
      <c r="V1006" s="270" t="e">
        <f>IF(C1006="",NA(),MATCH($B1006&amp;$C1006,'Smelter Look-up'!$J:$J,0))</f>
        <v>#N/A</v>
      </c>
      <c r="W1006" s="271"/>
      <c r="X1006" s="271">
        <f t="shared" ca="1" si="163"/>
        <v>0</v>
      </c>
      <c r="Y1006" s="271"/>
      <c r="Z1006" s="271"/>
      <c r="AB1006" s="273" t="str">
        <f t="shared" si="164"/>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62"/>
        <v/>
      </c>
      <c r="T1007" s="222" t="str">
        <f ca="1">IF(B1007="","",IF(ISERROR(MATCH($J1007,SorP!$B$1:$B$6230,0)),"",INDIRECT("'SorP'!$A$"&amp;MATCH($J1007,SorP!$B$1:$B$6230,0))))</f>
        <v/>
      </c>
      <c r="U1007" s="238"/>
      <c r="V1007" s="270" t="e">
        <f>IF(C1007="",NA(),MATCH($B1007&amp;$C1007,'Smelter Look-up'!$J:$J,0))</f>
        <v>#N/A</v>
      </c>
      <c r="W1007" s="271"/>
      <c r="X1007" s="271">
        <f t="shared" ca="1" si="163"/>
        <v>0</v>
      </c>
      <c r="Y1007" s="271"/>
      <c r="Z1007" s="271"/>
      <c r="AB1007" s="273" t="str">
        <f t="shared" si="164"/>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62"/>
        <v/>
      </c>
      <c r="T1008" s="222" t="str">
        <f ca="1">IF(B1008="","",IF(ISERROR(MATCH($J1008,SorP!$B$1:$B$6230,0)),"",INDIRECT("'SorP'!$A$"&amp;MATCH($J1008,SorP!$B$1:$B$6230,0))))</f>
        <v/>
      </c>
      <c r="U1008" s="238"/>
      <c r="V1008" s="270" t="e">
        <f>IF(C1008="",NA(),MATCH($B1008&amp;$C1008,'Smelter Look-up'!$J:$J,0))</f>
        <v>#N/A</v>
      </c>
      <c r="W1008" s="271"/>
      <c r="X1008" s="271">
        <f t="shared" ca="1" si="163"/>
        <v>0</v>
      </c>
      <c r="Y1008" s="271"/>
      <c r="Z1008" s="271"/>
      <c r="AB1008" s="273" t="str">
        <f t="shared" si="164"/>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62"/>
        <v/>
      </c>
      <c r="T1009" s="222" t="str">
        <f ca="1">IF(B1009="","",IF(ISERROR(MATCH($J1009,SorP!$B$1:$B$6230,0)),"",INDIRECT("'SorP'!$A$"&amp;MATCH($J1009,SorP!$B$1:$B$6230,0))))</f>
        <v/>
      </c>
      <c r="U1009" s="238"/>
      <c r="V1009" s="270" t="e">
        <f>IF(C1009="",NA(),MATCH($B1009&amp;$C1009,'Smelter Look-up'!$J:$J,0))</f>
        <v>#N/A</v>
      </c>
      <c r="W1009" s="271"/>
      <c r="X1009" s="271">
        <f t="shared" ca="1" si="163"/>
        <v>0</v>
      </c>
      <c r="Y1009" s="271"/>
      <c r="Z1009" s="271"/>
      <c r="AB1009" s="273" t="str">
        <f t="shared" si="164"/>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62"/>
        <v/>
      </c>
      <c r="T1010" s="222" t="str">
        <f ca="1">IF(B1010="","",IF(ISERROR(MATCH($J1010,SorP!$B$1:$B$6230,0)),"",INDIRECT("'SorP'!$A$"&amp;MATCH($J1010,SorP!$B$1:$B$6230,0))))</f>
        <v/>
      </c>
      <c r="U1010" s="238"/>
      <c r="V1010" s="270" t="e">
        <f>IF(C1010="",NA(),MATCH($B1010&amp;$C1010,'Smelter Look-up'!$J:$J,0))</f>
        <v>#N/A</v>
      </c>
      <c r="W1010" s="271"/>
      <c r="X1010" s="271">
        <f t="shared" ca="1" si="163"/>
        <v>0</v>
      </c>
      <c r="Y1010" s="271"/>
      <c r="Z1010" s="271"/>
      <c r="AB1010" s="273" t="str">
        <f t="shared" si="164"/>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62"/>
        <v/>
      </c>
      <c r="T1011" s="222" t="str">
        <f ca="1">IF(B1011="","",IF(ISERROR(MATCH($J1011,SorP!$B$1:$B$6230,0)),"",INDIRECT("'SorP'!$A$"&amp;MATCH($J1011,SorP!$B$1:$B$6230,0))))</f>
        <v/>
      </c>
      <c r="U1011" s="238"/>
      <c r="V1011" s="270" t="e">
        <f>IF(C1011="",NA(),MATCH($B1011&amp;$C1011,'Smelter Look-up'!$J:$J,0))</f>
        <v>#N/A</v>
      </c>
      <c r="W1011" s="271"/>
      <c r="X1011" s="271">
        <f t="shared" ca="1" si="163"/>
        <v>0</v>
      </c>
      <c r="Y1011" s="271"/>
      <c r="Z1011" s="271"/>
      <c r="AB1011" s="273" t="str">
        <f t="shared" si="164"/>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62"/>
        <v/>
      </c>
      <c r="T1012" s="222" t="str">
        <f ca="1">IF(B1012="","",IF(ISERROR(MATCH($J1012,SorP!$B$1:$B$6230,0)),"",INDIRECT("'SorP'!$A$"&amp;MATCH($J1012,SorP!$B$1:$B$6230,0))))</f>
        <v/>
      </c>
      <c r="U1012" s="238"/>
      <c r="V1012" s="270" t="e">
        <f>IF(C1012="",NA(),MATCH($B1012&amp;$C1012,'Smelter Look-up'!$J:$J,0))</f>
        <v>#N/A</v>
      </c>
      <c r="W1012" s="271"/>
      <c r="X1012" s="271">
        <f t="shared" ca="1" si="163"/>
        <v>0</v>
      </c>
      <c r="Y1012" s="271"/>
      <c r="Z1012" s="271"/>
      <c r="AB1012" s="273" t="str">
        <f t="shared" si="164"/>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62"/>
        <v/>
      </c>
      <c r="T1013" s="222" t="str">
        <f ca="1">IF(B1013="","",IF(ISERROR(MATCH($J1013,SorP!$B$1:$B$6230,0)),"",INDIRECT("'SorP'!$A$"&amp;MATCH($J1013,SorP!$B$1:$B$6230,0))))</f>
        <v/>
      </c>
      <c r="U1013" s="238"/>
      <c r="V1013" s="270" t="e">
        <f>IF(C1013="",NA(),MATCH($B1013&amp;$C1013,'Smelter Look-up'!$J:$J,0))</f>
        <v>#N/A</v>
      </c>
      <c r="W1013" s="271"/>
      <c r="X1013" s="271">
        <f t="shared" ca="1" si="163"/>
        <v>0</v>
      </c>
      <c r="Y1013" s="271"/>
      <c r="Z1013" s="271"/>
      <c r="AB1013" s="273" t="str">
        <f t="shared" si="164"/>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62"/>
        <v/>
      </c>
      <c r="T1014" s="222" t="str">
        <f ca="1">IF(B1014="","",IF(ISERROR(MATCH($J1014,SorP!$B$1:$B$6230,0)),"",INDIRECT("'SorP'!$A$"&amp;MATCH($J1014,SorP!$B$1:$B$6230,0))))</f>
        <v/>
      </c>
      <c r="U1014" s="238"/>
      <c r="V1014" s="270" t="e">
        <f>IF(C1014="",NA(),MATCH($B1014&amp;$C1014,'Smelter Look-up'!$J:$J,0))</f>
        <v>#N/A</v>
      </c>
      <c r="W1014" s="271"/>
      <c r="X1014" s="271">
        <f t="shared" ca="1" si="163"/>
        <v>0</v>
      </c>
      <c r="Y1014" s="271"/>
      <c r="Z1014" s="271"/>
      <c r="AB1014" s="273" t="str">
        <f t="shared" si="164"/>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62"/>
        <v/>
      </c>
      <c r="T1015" s="222" t="str">
        <f ca="1">IF(B1015="","",IF(ISERROR(MATCH($J1015,SorP!$B$1:$B$6230,0)),"",INDIRECT("'SorP'!$A$"&amp;MATCH($J1015,SorP!$B$1:$B$6230,0))))</f>
        <v/>
      </c>
      <c r="U1015" s="238"/>
      <c r="V1015" s="270" t="e">
        <f>IF(C1015="",NA(),MATCH($B1015&amp;$C1015,'Smelter Look-up'!$J:$J,0))</f>
        <v>#N/A</v>
      </c>
      <c r="W1015" s="271"/>
      <c r="X1015" s="271">
        <f t="shared" ca="1" si="163"/>
        <v>0</v>
      </c>
      <c r="Y1015" s="271"/>
      <c r="Z1015" s="271"/>
      <c r="AB1015" s="273" t="str">
        <f t="shared" si="164"/>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62"/>
        <v/>
      </c>
      <c r="T1016" s="222" t="str">
        <f ca="1">IF(B1016="","",IF(ISERROR(MATCH($J1016,SorP!$B$1:$B$6230,0)),"",INDIRECT("'SorP'!$A$"&amp;MATCH($J1016,SorP!$B$1:$B$6230,0))))</f>
        <v/>
      </c>
      <c r="U1016" s="238"/>
      <c r="V1016" s="270" t="e">
        <f>IF(C1016="",NA(),MATCH($B1016&amp;$C1016,'Smelter Look-up'!$J:$J,0))</f>
        <v>#N/A</v>
      </c>
      <c r="W1016" s="271"/>
      <c r="X1016" s="271">
        <f t="shared" ca="1" si="163"/>
        <v>0</v>
      </c>
      <c r="Y1016" s="271"/>
      <c r="Z1016" s="271"/>
      <c r="AB1016" s="273" t="str">
        <f t="shared" si="164"/>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ref="S1017:S1047" ca="1" si="165">IF(B1017="","",IF(ISERROR(MATCH($E1017,CL,0)),"Unknown",INDIRECT("'C'!$A$"&amp;MATCH($E1017,CL,0)+1)))</f>
        <v/>
      </c>
      <c r="T1017" s="222" t="str">
        <f ca="1">IF(B1017="","",IF(ISERROR(MATCH($J1017,SorP!$B$1:$B$6230,0)),"",INDIRECT("'SorP'!$A$"&amp;MATCH($J1017,SorP!$B$1:$B$6230,0))))</f>
        <v/>
      </c>
      <c r="U1017" s="238"/>
      <c r="V1017" s="270" t="e">
        <f>IF(C1017="",NA(),MATCH($B1017&amp;$C1017,'Smelter Look-up'!$J:$J,0))</f>
        <v>#N/A</v>
      </c>
      <c r="W1017" s="271"/>
      <c r="X1017" s="271">
        <f t="shared" ref="X1017:X1047" ca="1" si="166">IF(AND(C1017="Smelter not listed",OR(LEN(D1017)=0,LEN(E1017)=0)),1,0)</f>
        <v>0</v>
      </c>
      <c r="Y1017" s="271"/>
      <c r="Z1017" s="271"/>
      <c r="AB1017" s="273" t="str">
        <f t="shared" ref="AB1017:AB1047" si="167">B1017&amp;C1017</f>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65"/>
        <v/>
      </c>
      <c r="T1018" s="222" t="str">
        <f ca="1">IF(B1018="","",IF(ISERROR(MATCH($J1018,SorP!$B$1:$B$6230,0)),"",INDIRECT("'SorP'!$A$"&amp;MATCH($J1018,SorP!$B$1:$B$6230,0))))</f>
        <v/>
      </c>
      <c r="U1018" s="238"/>
      <c r="V1018" s="270" t="e">
        <f>IF(C1018="",NA(),MATCH($B1018&amp;$C1018,'Smelter Look-up'!$J:$J,0))</f>
        <v>#N/A</v>
      </c>
      <c r="W1018" s="271"/>
      <c r="X1018" s="271">
        <f t="shared" ca="1" si="166"/>
        <v>0</v>
      </c>
      <c r="Y1018" s="271"/>
      <c r="Z1018" s="271"/>
      <c r="AB1018" s="273" t="str">
        <f t="shared" si="167"/>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ca="1" si="165"/>
        <v/>
      </c>
      <c r="T1019" s="222" t="str">
        <f ca="1">IF(B1019="","",IF(ISERROR(MATCH($J1019,SorP!$B$1:$B$6230,0)),"",INDIRECT("'SorP'!$A$"&amp;MATCH($J1019,SorP!$B$1:$B$6230,0))))</f>
        <v/>
      </c>
      <c r="U1019" s="238"/>
      <c r="V1019" s="270" t="e">
        <f>IF(C1019="",NA(),MATCH($B1019&amp;$C1019,'Smelter Look-up'!$J:$J,0))</f>
        <v>#N/A</v>
      </c>
      <c r="W1019" s="271"/>
      <c r="X1019" s="271">
        <f t="shared" ca="1" si="166"/>
        <v>0</v>
      </c>
      <c r="Y1019" s="271"/>
      <c r="Z1019" s="271"/>
      <c r="AB1019" s="273" t="str">
        <f t="shared" si="167"/>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ca="1" si="165"/>
        <v/>
      </c>
      <c r="T1020" s="222" t="str">
        <f ca="1">IF(B1020="","",IF(ISERROR(MATCH($J1020,SorP!$B$1:$B$6230,0)),"",INDIRECT("'SorP'!$A$"&amp;MATCH($J1020,SorP!$B$1:$B$6230,0))))</f>
        <v/>
      </c>
      <c r="U1020" s="238"/>
      <c r="V1020" s="270" t="e">
        <f>IF(C1020="",NA(),MATCH($B1020&amp;$C1020,'Smelter Look-up'!$J:$J,0))</f>
        <v>#N/A</v>
      </c>
      <c r="W1020" s="271"/>
      <c r="X1020" s="271">
        <f t="shared" ca="1" si="166"/>
        <v>0</v>
      </c>
      <c r="Y1020" s="271"/>
      <c r="Z1020" s="271"/>
      <c r="AB1020" s="273" t="str">
        <f t="shared" si="167"/>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65"/>
        <v/>
      </c>
      <c r="T1021" s="222" t="str">
        <f ca="1">IF(B1021="","",IF(ISERROR(MATCH($J1021,SorP!$B$1:$B$6230,0)),"",INDIRECT("'SorP'!$A$"&amp;MATCH($J1021,SorP!$B$1:$B$6230,0))))</f>
        <v/>
      </c>
      <c r="U1021" s="238"/>
      <c r="V1021" s="270" t="e">
        <f>IF(C1021="",NA(),MATCH($B1021&amp;$C1021,'Smelter Look-up'!$J:$J,0))</f>
        <v>#N/A</v>
      </c>
      <c r="W1021" s="271"/>
      <c r="X1021" s="271">
        <f t="shared" ca="1" si="166"/>
        <v>0</v>
      </c>
      <c r="Y1021" s="271"/>
      <c r="Z1021" s="271"/>
      <c r="AB1021" s="273" t="str">
        <f t="shared" si="167"/>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65"/>
        <v/>
      </c>
      <c r="T1022" s="222" t="str">
        <f ca="1">IF(B1022="","",IF(ISERROR(MATCH($J1022,SorP!$B$1:$B$6230,0)),"",INDIRECT("'SorP'!$A$"&amp;MATCH($J1022,SorP!$B$1:$B$6230,0))))</f>
        <v/>
      </c>
      <c r="U1022" s="238"/>
      <c r="V1022" s="270" t="e">
        <f>IF(C1022="",NA(),MATCH($B1022&amp;$C1022,'Smelter Look-up'!$J:$J,0))</f>
        <v>#N/A</v>
      </c>
      <c r="W1022" s="271"/>
      <c r="X1022" s="271">
        <f t="shared" ca="1" si="166"/>
        <v>0</v>
      </c>
      <c r="Y1022" s="271"/>
      <c r="Z1022" s="271"/>
      <c r="AB1022" s="273" t="str">
        <f t="shared" si="167"/>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65"/>
        <v/>
      </c>
      <c r="T1023" s="222" t="str">
        <f ca="1">IF(B1023="","",IF(ISERROR(MATCH($J1023,SorP!$B$1:$B$6230,0)),"",INDIRECT("'SorP'!$A$"&amp;MATCH($J1023,SorP!$B$1:$B$6230,0))))</f>
        <v/>
      </c>
      <c r="U1023" s="238"/>
      <c r="V1023" s="270" t="e">
        <f>IF(C1023="",NA(),MATCH($B1023&amp;$C1023,'Smelter Look-up'!$J:$J,0))</f>
        <v>#N/A</v>
      </c>
      <c r="W1023" s="271"/>
      <c r="X1023" s="271">
        <f t="shared" ca="1" si="166"/>
        <v>0</v>
      </c>
      <c r="Y1023" s="271"/>
      <c r="Z1023" s="271"/>
      <c r="AB1023" s="273" t="str">
        <f t="shared" si="167"/>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65"/>
        <v/>
      </c>
      <c r="T1024" s="222" t="str">
        <f ca="1">IF(B1024="","",IF(ISERROR(MATCH($J1024,SorP!$B$1:$B$6230,0)),"",INDIRECT("'SorP'!$A$"&amp;MATCH($J1024,SorP!$B$1:$B$6230,0))))</f>
        <v/>
      </c>
      <c r="U1024" s="238"/>
      <c r="V1024" s="270" t="e">
        <f>IF(C1024="",NA(),MATCH($B1024&amp;$C1024,'Smelter Look-up'!$J:$J,0))</f>
        <v>#N/A</v>
      </c>
      <c r="W1024" s="271"/>
      <c r="X1024" s="271">
        <f t="shared" ca="1" si="166"/>
        <v>0</v>
      </c>
      <c r="Y1024" s="271"/>
      <c r="Z1024" s="271"/>
      <c r="AB1024" s="273" t="str">
        <f t="shared" si="167"/>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65"/>
        <v/>
      </c>
      <c r="T1025" s="222" t="str">
        <f ca="1">IF(B1025="","",IF(ISERROR(MATCH($J1025,SorP!$B$1:$B$6230,0)),"",INDIRECT("'SorP'!$A$"&amp;MATCH($J1025,SorP!$B$1:$B$6230,0))))</f>
        <v/>
      </c>
      <c r="U1025" s="238"/>
      <c r="V1025" s="270" t="e">
        <f>IF(C1025="",NA(),MATCH($B1025&amp;$C1025,'Smelter Look-up'!$J:$J,0))</f>
        <v>#N/A</v>
      </c>
      <c r="W1025" s="271"/>
      <c r="X1025" s="271">
        <f t="shared" ca="1" si="166"/>
        <v>0</v>
      </c>
      <c r="Y1025" s="271"/>
      <c r="Z1025" s="271"/>
      <c r="AB1025" s="273" t="str">
        <f t="shared" si="167"/>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65"/>
        <v/>
      </c>
      <c r="T1026" s="222" t="str">
        <f ca="1">IF(B1026="","",IF(ISERROR(MATCH($J1026,SorP!$B$1:$B$6230,0)),"",INDIRECT("'SorP'!$A$"&amp;MATCH($J1026,SorP!$B$1:$B$6230,0))))</f>
        <v/>
      </c>
      <c r="U1026" s="238"/>
      <c r="V1026" s="270" t="e">
        <f>IF(C1026="",NA(),MATCH($B1026&amp;$C1026,'Smelter Look-up'!$J:$J,0))</f>
        <v>#N/A</v>
      </c>
      <c r="W1026" s="271"/>
      <c r="X1026" s="271">
        <f t="shared" ca="1" si="166"/>
        <v>0</v>
      </c>
      <c r="Y1026" s="271"/>
      <c r="Z1026" s="271"/>
      <c r="AB1026" s="273" t="str">
        <f t="shared" si="167"/>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65"/>
        <v/>
      </c>
      <c r="T1027" s="222" t="str">
        <f ca="1">IF(B1027="","",IF(ISERROR(MATCH($J1027,SorP!$B$1:$B$6230,0)),"",INDIRECT("'SorP'!$A$"&amp;MATCH($J1027,SorP!$B$1:$B$6230,0))))</f>
        <v/>
      </c>
      <c r="U1027" s="238"/>
      <c r="V1027" s="270" t="e">
        <f>IF(C1027="",NA(),MATCH($B1027&amp;$C1027,'Smelter Look-up'!$J:$J,0))</f>
        <v>#N/A</v>
      </c>
      <c r="W1027" s="271"/>
      <c r="X1027" s="271">
        <f t="shared" ca="1" si="166"/>
        <v>0</v>
      </c>
      <c r="Y1027" s="271"/>
      <c r="Z1027" s="271"/>
      <c r="AB1027" s="273" t="str">
        <f t="shared" si="167"/>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65"/>
        <v/>
      </c>
      <c r="T1028" s="222" t="str">
        <f ca="1">IF(B1028="","",IF(ISERROR(MATCH($J1028,SorP!$B$1:$B$6230,0)),"",INDIRECT("'SorP'!$A$"&amp;MATCH($J1028,SorP!$B$1:$B$6230,0))))</f>
        <v/>
      </c>
      <c r="U1028" s="238"/>
      <c r="V1028" s="270" t="e">
        <f>IF(C1028="",NA(),MATCH($B1028&amp;$C1028,'Smelter Look-up'!$J:$J,0))</f>
        <v>#N/A</v>
      </c>
      <c r="W1028" s="271"/>
      <c r="X1028" s="271">
        <f t="shared" ca="1" si="166"/>
        <v>0</v>
      </c>
      <c r="Y1028" s="271"/>
      <c r="Z1028" s="271"/>
      <c r="AB1028" s="273" t="str">
        <f t="shared" si="167"/>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65"/>
        <v/>
      </c>
      <c r="T1029" s="222" t="str">
        <f ca="1">IF(B1029="","",IF(ISERROR(MATCH($J1029,SorP!$B$1:$B$6230,0)),"",INDIRECT("'SorP'!$A$"&amp;MATCH($J1029,SorP!$B$1:$B$6230,0))))</f>
        <v/>
      </c>
      <c r="U1029" s="238"/>
      <c r="V1029" s="270" t="e">
        <f>IF(C1029="",NA(),MATCH($B1029&amp;$C1029,'Smelter Look-up'!$J:$J,0))</f>
        <v>#N/A</v>
      </c>
      <c r="W1029" s="271"/>
      <c r="X1029" s="271">
        <f t="shared" ca="1" si="166"/>
        <v>0</v>
      </c>
      <c r="Y1029" s="271"/>
      <c r="Z1029" s="271"/>
      <c r="AB1029" s="273" t="str">
        <f t="shared" si="167"/>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65"/>
        <v/>
      </c>
      <c r="T1030" s="222" t="str">
        <f ca="1">IF(B1030="","",IF(ISERROR(MATCH($J1030,SorP!$B$1:$B$6230,0)),"",INDIRECT("'SorP'!$A$"&amp;MATCH($J1030,SorP!$B$1:$B$6230,0))))</f>
        <v/>
      </c>
      <c r="U1030" s="238"/>
      <c r="V1030" s="270" t="e">
        <f>IF(C1030="",NA(),MATCH($B1030&amp;$C1030,'Smelter Look-up'!$J:$J,0))</f>
        <v>#N/A</v>
      </c>
      <c r="W1030" s="271"/>
      <c r="X1030" s="271">
        <f t="shared" ca="1" si="166"/>
        <v>0</v>
      </c>
      <c r="Y1030" s="271"/>
      <c r="Z1030" s="271"/>
      <c r="AB1030" s="273" t="str">
        <f t="shared" si="167"/>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65"/>
        <v/>
      </c>
      <c r="T1031" s="222" t="str">
        <f ca="1">IF(B1031="","",IF(ISERROR(MATCH($J1031,SorP!$B$1:$B$6230,0)),"",INDIRECT("'SorP'!$A$"&amp;MATCH($J1031,SorP!$B$1:$B$6230,0))))</f>
        <v/>
      </c>
      <c r="U1031" s="238"/>
      <c r="V1031" s="270" t="e">
        <f>IF(C1031="",NA(),MATCH($B1031&amp;$C1031,'Smelter Look-up'!$J:$J,0))</f>
        <v>#N/A</v>
      </c>
      <c r="W1031" s="271"/>
      <c r="X1031" s="271">
        <f t="shared" ca="1" si="166"/>
        <v>0</v>
      </c>
      <c r="Y1031" s="271"/>
      <c r="Z1031" s="271"/>
      <c r="AB1031" s="273" t="str">
        <f t="shared" si="167"/>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65"/>
        <v/>
      </c>
      <c r="T1032" s="222" t="str">
        <f ca="1">IF(B1032="","",IF(ISERROR(MATCH($J1032,SorP!$B$1:$B$6230,0)),"",INDIRECT("'SorP'!$A$"&amp;MATCH($J1032,SorP!$B$1:$B$6230,0))))</f>
        <v/>
      </c>
      <c r="U1032" s="238"/>
      <c r="V1032" s="270" t="e">
        <f>IF(C1032="",NA(),MATCH($B1032&amp;$C1032,'Smelter Look-up'!$J:$J,0))</f>
        <v>#N/A</v>
      </c>
      <c r="W1032" s="271"/>
      <c r="X1032" s="271">
        <f t="shared" ca="1" si="166"/>
        <v>0</v>
      </c>
      <c r="Y1032" s="271"/>
      <c r="Z1032" s="271"/>
      <c r="AB1032" s="273" t="str">
        <f t="shared" si="167"/>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65"/>
        <v/>
      </c>
      <c r="T1033" s="222" t="str">
        <f ca="1">IF(B1033="","",IF(ISERROR(MATCH($J1033,SorP!$B$1:$B$6230,0)),"",INDIRECT("'SorP'!$A$"&amp;MATCH($J1033,SorP!$B$1:$B$6230,0))))</f>
        <v/>
      </c>
      <c r="U1033" s="238"/>
      <c r="V1033" s="270" t="e">
        <f>IF(C1033="",NA(),MATCH($B1033&amp;$C1033,'Smelter Look-up'!$J:$J,0))</f>
        <v>#N/A</v>
      </c>
      <c r="W1033" s="271"/>
      <c r="X1033" s="271">
        <f t="shared" ca="1" si="166"/>
        <v>0</v>
      </c>
      <c r="Y1033" s="271"/>
      <c r="Z1033" s="271"/>
      <c r="AB1033" s="273" t="str">
        <f t="shared" si="167"/>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65"/>
        <v/>
      </c>
      <c r="T1034" s="222" t="str">
        <f ca="1">IF(B1034="","",IF(ISERROR(MATCH($J1034,SorP!$B$1:$B$6230,0)),"",INDIRECT("'SorP'!$A$"&amp;MATCH($J1034,SorP!$B$1:$B$6230,0))))</f>
        <v/>
      </c>
      <c r="U1034" s="238"/>
      <c r="V1034" s="270" t="e">
        <f>IF(C1034="",NA(),MATCH($B1034&amp;$C1034,'Smelter Look-up'!$J:$J,0))</f>
        <v>#N/A</v>
      </c>
      <c r="W1034" s="271"/>
      <c r="X1034" s="271">
        <f t="shared" ca="1" si="166"/>
        <v>0</v>
      </c>
      <c r="Y1034" s="271"/>
      <c r="Z1034" s="271"/>
      <c r="AB1034" s="273" t="str">
        <f t="shared" si="167"/>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65"/>
        <v/>
      </c>
      <c r="T1035" s="222" t="str">
        <f ca="1">IF(B1035="","",IF(ISERROR(MATCH($J1035,SorP!$B$1:$B$6230,0)),"",INDIRECT("'SorP'!$A$"&amp;MATCH($J1035,SorP!$B$1:$B$6230,0))))</f>
        <v/>
      </c>
      <c r="U1035" s="238"/>
      <c r="V1035" s="270" t="e">
        <f>IF(C1035="",NA(),MATCH($B1035&amp;$C1035,'Smelter Look-up'!$J:$J,0))</f>
        <v>#N/A</v>
      </c>
      <c r="W1035" s="271"/>
      <c r="X1035" s="271">
        <f t="shared" ca="1" si="166"/>
        <v>0</v>
      </c>
      <c r="Y1035" s="271"/>
      <c r="Z1035" s="271"/>
      <c r="AB1035" s="273" t="str">
        <f t="shared" si="167"/>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65"/>
        <v/>
      </c>
      <c r="T1036" s="222" t="str">
        <f ca="1">IF(B1036="","",IF(ISERROR(MATCH($J1036,SorP!$B$1:$B$6230,0)),"",INDIRECT("'SorP'!$A$"&amp;MATCH($J1036,SorP!$B$1:$B$6230,0))))</f>
        <v/>
      </c>
      <c r="U1036" s="238"/>
      <c r="V1036" s="270" t="e">
        <f>IF(C1036="",NA(),MATCH($B1036&amp;$C1036,'Smelter Look-up'!$J:$J,0))</f>
        <v>#N/A</v>
      </c>
      <c r="W1036" s="271"/>
      <c r="X1036" s="271">
        <f t="shared" ca="1" si="166"/>
        <v>0</v>
      </c>
      <c r="Y1036" s="271"/>
      <c r="Z1036" s="271"/>
      <c r="AB1036" s="273" t="str">
        <f t="shared" si="167"/>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65"/>
        <v/>
      </c>
      <c r="T1037" s="222" t="str">
        <f ca="1">IF(B1037="","",IF(ISERROR(MATCH($J1037,SorP!$B$1:$B$6230,0)),"",INDIRECT("'SorP'!$A$"&amp;MATCH($J1037,SorP!$B$1:$B$6230,0))))</f>
        <v/>
      </c>
      <c r="U1037" s="238"/>
      <c r="V1037" s="270" t="e">
        <f>IF(C1037="",NA(),MATCH($B1037&amp;$C1037,'Smelter Look-up'!$J:$J,0))</f>
        <v>#N/A</v>
      </c>
      <c r="W1037" s="271"/>
      <c r="X1037" s="271">
        <f t="shared" ca="1" si="166"/>
        <v>0</v>
      </c>
      <c r="Y1037" s="271"/>
      <c r="Z1037" s="271"/>
      <c r="AB1037" s="273" t="str">
        <f t="shared" si="167"/>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65"/>
        <v/>
      </c>
      <c r="T1038" s="222" t="str">
        <f ca="1">IF(B1038="","",IF(ISERROR(MATCH($J1038,SorP!$B$1:$B$6230,0)),"",INDIRECT("'SorP'!$A$"&amp;MATCH($J1038,SorP!$B$1:$B$6230,0))))</f>
        <v/>
      </c>
      <c r="U1038" s="238"/>
      <c r="V1038" s="270" t="e">
        <f>IF(C1038="",NA(),MATCH($B1038&amp;$C1038,'Smelter Look-up'!$J:$J,0))</f>
        <v>#N/A</v>
      </c>
      <c r="W1038" s="271"/>
      <c r="X1038" s="271">
        <f t="shared" ca="1" si="166"/>
        <v>0</v>
      </c>
      <c r="Y1038" s="271"/>
      <c r="Z1038" s="271"/>
      <c r="AB1038" s="273" t="str">
        <f t="shared" si="167"/>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65"/>
        <v/>
      </c>
      <c r="T1039" s="222" t="str">
        <f ca="1">IF(B1039="","",IF(ISERROR(MATCH($J1039,SorP!$B$1:$B$6230,0)),"",INDIRECT("'SorP'!$A$"&amp;MATCH($J1039,SorP!$B$1:$B$6230,0))))</f>
        <v/>
      </c>
      <c r="U1039" s="238"/>
      <c r="V1039" s="270" t="e">
        <f>IF(C1039="",NA(),MATCH($B1039&amp;$C1039,'Smelter Look-up'!$J:$J,0))</f>
        <v>#N/A</v>
      </c>
      <c r="W1039" s="271"/>
      <c r="X1039" s="271">
        <f t="shared" ca="1" si="166"/>
        <v>0</v>
      </c>
      <c r="Y1039" s="271"/>
      <c r="Z1039" s="271"/>
      <c r="AB1039" s="273" t="str">
        <f t="shared" si="167"/>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65"/>
        <v/>
      </c>
      <c r="T1040" s="222" t="str">
        <f ca="1">IF(B1040="","",IF(ISERROR(MATCH($J1040,SorP!$B$1:$B$6230,0)),"",INDIRECT("'SorP'!$A$"&amp;MATCH($J1040,SorP!$B$1:$B$6230,0))))</f>
        <v/>
      </c>
      <c r="U1040" s="238"/>
      <c r="V1040" s="270" t="e">
        <f>IF(C1040="",NA(),MATCH($B1040&amp;$C1040,'Smelter Look-up'!$J:$J,0))</f>
        <v>#N/A</v>
      </c>
      <c r="W1040" s="271"/>
      <c r="X1040" s="271">
        <f t="shared" ca="1" si="166"/>
        <v>0</v>
      </c>
      <c r="Y1040" s="271"/>
      <c r="Z1040" s="271"/>
      <c r="AB1040" s="273" t="str">
        <f t="shared" si="167"/>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65"/>
        <v/>
      </c>
      <c r="T1041" s="222" t="str">
        <f ca="1">IF(B1041="","",IF(ISERROR(MATCH($J1041,SorP!$B$1:$B$6230,0)),"",INDIRECT("'SorP'!$A$"&amp;MATCH($J1041,SorP!$B$1:$B$6230,0))))</f>
        <v/>
      </c>
      <c r="U1041" s="238"/>
      <c r="V1041" s="270" t="e">
        <f>IF(C1041="",NA(),MATCH($B1041&amp;$C1041,'Smelter Look-up'!$J:$J,0))</f>
        <v>#N/A</v>
      </c>
      <c r="W1041" s="271"/>
      <c r="X1041" s="271">
        <f t="shared" ca="1" si="166"/>
        <v>0</v>
      </c>
      <c r="Y1041" s="271"/>
      <c r="Z1041" s="271"/>
      <c r="AB1041" s="273" t="str">
        <f t="shared" si="167"/>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65"/>
        <v/>
      </c>
      <c r="T1042" s="222" t="str">
        <f ca="1">IF(B1042="","",IF(ISERROR(MATCH($J1042,SorP!$B$1:$B$6230,0)),"",INDIRECT("'SorP'!$A$"&amp;MATCH($J1042,SorP!$B$1:$B$6230,0))))</f>
        <v/>
      </c>
      <c r="U1042" s="238"/>
      <c r="V1042" s="270" t="e">
        <f>IF(C1042="",NA(),MATCH($B1042&amp;$C1042,'Smelter Look-up'!$J:$J,0))</f>
        <v>#N/A</v>
      </c>
      <c r="W1042" s="271"/>
      <c r="X1042" s="271">
        <f t="shared" ca="1" si="166"/>
        <v>0</v>
      </c>
      <c r="Y1042" s="271"/>
      <c r="Z1042" s="271"/>
      <c r="AB1042" s="273" t="str">
        <f t="shared" si="167"/>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65"/>
        <v/>
      </c>
      <c r="T1043" s="222" t="str">
        <f ca="1">IF(B1043="","",IF(ISERROR(MATCH($J1043,SorP!$B$1:$B$6230,0)),"",INDIRECT("'SorP'!$A$"&amp;MATCH($J1043,SorP!$B$1:$B$6230,0))))</f>
        <v/>
      </c>
      <c r="U1043" s="238"/>
      <c r="V1043" s="270" t="e">
        <f>IF(C1043="",NA(),MATCH($B1043&amp;$C1043,'Smelter Look-up'!$J:$J,0))</f>
        <v>#N/A</v>
      </c>
      <c r="W1043" s="271"/>
      <c r="X1043" s="271">
        <f t="shared" ca="1" si="166"/>
        <v>0</v>
      </c>
      <c r="Y1043" s="271"/>
      <c r="Z1043" s="271"/>
      <c r="AB1043" s="273" t="str">
        <f t="shared" si="167"/>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65"/>
        <v/>
      </c>
      <c r="T1044" s="222" t="str">
        <f ca="1">IF(B1044="","",IF(ISERROR(MATCH($J1044,SorP!$B$1:$B$6230,0)),"",INDIRECT("'SorP'!$A$"&amp;MATCH($J1044,SorP!$B$1:$B$6230,0))))</f>
        <v/>
      </c>
      <c r="U1044" s="238"/>
      <c r="V1044" s="270" t="e">
        <f>IF(C1044="",NA(),MATCH($B1044&amp;$C1044,'Smelter Look-up'!$J:$J,0))</f>
        <v>#N/A</v>
      </c>
      <c r="W1044" s="271"/>
      <c r="X1044" s="271">
        <f t="shared" ca="1" si="166"/>
        <v>0</v>
      </c>
      <c r="Y1044" s="271"/>
      <c r="Z1044" s="271"/>
      <c r="AB1044" s="273" t="str">
        <f t="shared" si="167"/>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65"/>
        <v/>
      </c>
      <c r="T1045" s="222" t="str">
        <f ca="1">IF(B1045="","",IF(ISERROR(MATCH($J1045,SorP!$B$1:$B$6230,0)),"",INDIRECT("'SorP'!$A$"&amp;MATCH($J1045,SorP!$B$1:$B$6230,0))))</f>
        <v/>
      </c>
      <c r="U1045" s="238"/>
      <c r="V1045" s="270" t="e">
        <f>IF(C1045="",NA(),MATCH($B1045&amp;$C1045,'Smelter Look-up'!$J:$J,0))</f>
        <v>#N/A</v>
      </c>
      <c r="W1045" s="271"/>
      <c r="X1045" s="271">
        <f t="shared" ca="1" si="166"/>
        <v>0</v>
      </c>
      <c r="Y1045" s="271"/>
      <c r="Z1045" s="271"/>
      <c r="AB1045" s="273" t="str">
        <f t="shared" si="167"/>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65"/>
        <v/>
      </c>
      <c r="T1046" s="222" t="str">
        <f ca="1">IF(B1046="","",IF(ISERROR(MATCH($J1046,SorP!$B$1:$B$6230,0)),"",INDIRECT("'SorP'!$A$"&amp;MATCH($J1046,SorP!$B$1:$B$6230,0))))</f>
        <v/>
      </c>
      <c r="U1046" s="238"/>
      <c r="V1046" s="270" t="e">
        <f>IF(C1046="",NA(),MATCH($B1046&amp;$C1046,'Smelter Look-up'!$J:$J,0))</f>
        <v>#N/A</v>
      </c>
      <c r="W1046" s="271"/>
      <c r="X1046" s="271">
        <f t="shared" ca="1" si="166"/>
        <v>0</v>
      </c>
      <c r="Y1046" s="271"/>
      <c r="Z1046" s="271"/>
      <c r="AB1046" s="273" t="str">
        <f t="shared" si="167"/>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65"/>
        <v/>
      </c>
      <c r="T1047" s="222" t="str">
        <f ca="1">IF(B1047="","",IF(ISERROR(MATCH($J1047,SorP!$B$1:$B$6230,0)),"",INDIRECT("'SorP'!$A$"&amp;MATCH($J1047,SorP!$B$1:$B$6230,0))))</f>
        <v/>
      </c>
      <c r="U1047" s="238"/>
      <c r="V1047" s="270" t="e">
        <f>IF(C1047="",NA(),MATCH($B1047&amp;$C1047,'Smelter Look-up'!$J:$J,0))</f>
        <v>#N/A</v>
      </c>
      <c r="W1047" s="271"/>
      <c r="X1047" s="271">
        <f t="shared" ca="1" si="166"/>
        <v>0</v>
      </c>
      <c r="Y1047" s="271"/>
      <c r="Z1047" s="271"/>
      <c r="AB1047" s="273" t="str">
        <f t="shared" si="167"/>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ref="S1048" ca="1" si="168">IF(B1048="","",IF(ISERROR(MATCH($E1048,CL,0)),"Unknown",INDIRECT("'C'!$A$"&amp;MATCH($E1048,CL,0)+1)))</f>
        <v/>
      </c>
      <c r="T1048" s="222" t="str">
        <f ca="1">IF(B1048="","",IF(ISERROR(MATCH($J1048,SorP!$B$1:$B$6230,0)),"",INDIRECT("'SorP'!$A$"&amp;MATCH($J1048,SorP!$B$1:$B$6230,0))))</f>
        <v/>
      </c>
      <c r="U1048" s="238"/>
      <c r="V1048" s="270" t="e">
        <f>IF(C1048="",NA(),MATCH($B1048&amp;$C1048,'Smelter Look-up'!$J:$J,0))</f>
        <v>#N/A</v>
      </c>
      <c r="W1048" s="271"/>
      <c r="X1048" s="271">
        <f t="shared" ref="X1048" ca="1" si="169">IF(AND(C1048="Smelter not listed",OR(LEN(D1048)=0,LEN(E1048)=0)),1,0)</f>
        <v>0</v>
      </c>
      <c r="Y1048" s="271"/>
      <c r="Z1048" s="271"/>
      <c r="AB1048" s="273" t="str">
        <f t="shared" ref="AB1048" si="170">B1048&amp;C1048</f>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ref="S1049:S1080" ca="1" si="171">IF(B1049="","",IF(ISERROR(MATCH($E1049,CL,0)),"Unknown",INDIRECT("'C'!$A$"&amp;MATCH($E1049,CL,0)+1)))</f>
        <v/>
      </c>
      <c r="T1049" s="222" t="str">
        <f ca="1">IF(B1049="","",IF(ISERROR(MATCH($J1049,SorP!$B$1:$B$6230,0)),"",INDIRECT("'SorP'!$A$"&amp;MATCH($J1049,SorP!$B$1:$B$6230,0))))</f>
        <v/>
      </c>
      <c r="U1049" s="238"/>
      <c r="V1049" s="270" t="e">
        <f>IF(C1049="",NA(),MATCH($B1049&amp;$C1049,'Smelter Look-up'!$J:$J,0))</f>
        <v>#N/A</v>
      </c>
      <c r="W1049" s="271"/>
      <c r="X1049" s="271">
        <f t="shared" ref="X1049:X1080" ca="1" si="172">IF(AND(C1049="Smelter not listed",OR(LEN(D1049)=0,LEN(E1049)=0)),1,0)</f>
        <v>0</v>
      </c>
      <c r="Y1049" s="271"/>
      <c r="Z1049" s="271"/>
      <c r="AB1049" s="273" t="str">
        <f t="shared" ref="AB1049:AB1080" si="173">B1049&amp;C1049</f>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71"/>
        <v/>
      </c>
      <c r="T1050" s="222" t="str">
        <f ca="1">IF(B1050="","",IF(ISERROR(MATCH($J1050,SorP!$B$1:$B$6230,0)),"",INDIRECT("'SorP'!$A$"&amp;MATCH($J1050,SorP!$B$1:$B$6230,0))))</f>
        <v/>
      </c>
      <c r="U1050" s="238"/>
      <c r="V1050" s="270" t="e">
        <f>IF(C1050="",NA(),MATCH($B1050&amp;$C1050,'Smelter Look-up'!$J:$J,0))</f>
        <v>#N/A</v>
      </c>
      <c r="W1050" s="271"/>
      <c r="X1050" s="271">
        <f t="shared" ca="1" si="172"/>
        <v>0</v>
      </c>
      <c r="Y1050" s="271"/>
      <c r="Z1050" s="271"/>
      <c r="AB1050" s="273" t="str">
        <f t="shared" si="173"/>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71"/>
        <v/>
      </c>
      <c r="T1051" s="222" t="str">
        <f ca="1">IF(B1051="","",IF(ISERROR(MATCH($J1051,SorP!$B$1:$B$6230,0)),"",INDIRECT("'SorP'!$A$"&amp;MATCH($J1051,SorP!$B$1:$B$6230,0))))</f>
        <v/>
      </c>
      <c r="U1051" s="238"/>
      <c r="V1051" s="270" t="e">
        <f>IF(C1051="",NA(),MATCH($B1051&amp;$C1051,'Smelter Look-up'!$J:$J,0))</f>
        <v>#N/A</v>
      </c>
      <c r="W1051" s="271"/>
      <c r="X1051" s="271">
        <f t="shared" ca="1" si="172"/>
        <v>0</v>
      </c>
      <c r="Y1051" s="271"/>
      <c r="Z1051" s="271"/>
      <c r="AB1051" s="273" t="str">
        <f t="shared" si="173"/>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ca="1" si="171"/>
        <v/>
      </c>
      <c r="T1052" s="222" t="str">
        <f ca="1">IF(B1052="","",IF(ISERROR(MATCH($J1052,SorP!$B$1:$B$6230,0)),"",INDIRECT("'SorP'!$A$"&amp;MATCH($J1052,SorP!$B$1:$B$6230,0))))</f>
        <v/>
      </c>
      <c r="U1052" s="238"/>
      <c r="V1052" s="270" t="e">
        <f>IF(C1052="",NA(),MATCH($B1052&amp;$C1052,'Smelter Look-up'!$J:$J,0))</f>
        <v>#N/A</v>
      </c>
      <c r="W1052" s="271"/>
      <c r="X1052" s="271">
        <f t="shared" ca="1" si="172"/>
        <v>0</v>
      </c>
      <c r="Y1052" s="271"/>
      <c r="Z1052" s="271"/>
      <c r="AB1052" s="273" t="str">
        <f t="shared" si="173"/>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71"/>
        <v/>
      </c>
      <c r="T1053" s="222" t="str">
        <f ca="1">IF(B1053="","",IF(ISERROR(MATCH($J1053,SorP!$B$1:$B$6230,0)),"",INDIRECT("'SorP'!$A$"&amp;MATCH($J1053,SorP!$B$1:$B$6230,0))))</f>
        <v/>
      </c>
      <c r="U1053" s="238"/>
      <c r="V1053" s="270" t="e">
        <f>IF(C1053="",NA(),MATCH($B1053&amp;$C1053,'Smelter Look-up'!$J:$J,0))</f>
        <v>#N/A</v>
      </c>
      <c r="W1053" s="271"/>
      <c r="X1053" s="271">
        <f t="shared" ca="1" si="172"/>
        <v>0</v>
      </c>
      <c r="Y1053" s="271"/>
      <c r="Z1053" s="271"/>
      <c r="AB1053" s="273" t="str">
        <f t="shared" si="173"/>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71"/>
        <v/>
      </c>
      <c r="T1054" s="222" t="str">
        <f ca="1">IF(B1054="","",IF(ISERROR(MATCH($J1054,SorP!$B$1:$B$6230,0)),"",INDIRECT("'SorP'!$A$"&amp;MATCH($J1054,SorP!$B$1:$B$6230,0))))</f>
        <v/>
      </c>
      <c r="U1054" s="238"/>
      <c r="V1054" s="270" t="e">
        <f>IF(C1054="",NA(),MATCH($B1054&amp;$C1054,'Smelter Look-up'!$J:$J,0))</f>
        <v>#N/A</v>
      </c>
      <c r="W1054" s="271"/>
      <c r="X1054" s="271">
        <f t="shared" ca="1" si="172"/>
        <v>0</v>
      </c>
      <c r="Y1054" s="271"/>
      <c r="Z1054" s="271"/>
      <c r="AB1054" s="273" t="str">
        <f t="shared" si="173"/>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71"/>
        <v/>
      </c>
      <c r="T1055" s="222" t="str">
        <f ca="1">IF(B1055="","",IF(ISERROR(MATCH($J1055,SorP!$B$1:$B$6230,0)),"",INDIRECT("'SorP'!$A$"&amp;MATCH($J1055,SorP!$B$1:$B$6230,0))))</f>
        <v/>
      </c>
      <c r="U1055" s="238"/>
      <c r="V1055" s="270" t="e">
        <f>IF(C1055="",NA(),MATCH($B1055&amp;$C1055,'Smelter Look-up'!$J:$J,0))</f>
        <v>#N/A</v>
      </c>
      <c r="W1055" s="271"/>
      <c r="X1055" s="271">
        <f t="shared" ca="1" si="172"/>
        <v>0</v>
      </c>
      <c r="Y1055" s="271"/>
      <c r="Z1055" s="271"/>
      <c r="AB1055" s="273" t="str">
        <f t="shared" si="173"/>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71"/>
        <v/>
      </c>
      <c r="T1056" s="222" t="str">
        <f ca="1">IF(B1056="","",IF(ISERROR(MATCH($J1056,SorP!$B$1:$B$6230,0)),"",INDIRECT("'SorP'!$A$"&amp;MATCH($J1056,SorP!$B$1:$B$6230,0))))</f>
        <v/>
      </c>
      <c r="U1056" s="238"/>
      <c r="V1056" s="270" t="e">
        <f>IF(C1056="",NA(),MATCH($B1056&amp;$C1056,'Smelter Look-up'!$J:$J,0))</f>
        <v>#N/A</v>
      </c>
      <c r="W1056" s="271"/>
      <c r="X1056" s="271">
        <f t="shared" ca="1" si="172"/>
        <v>0</v>
      </c>
      <c r="Y1056" s="271"/>
      <c r="Z1056" s="271"/>
      <c r="AB1056" s="273" t="str">
        <f t="shared" si="173"/>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71"/>
        <v/>
      </c>
      <c r="T1057" s="222" t="str">
        <f ca="1">IF(B1057="","",IF(ISERROR(MATCH($J1057,SorP!$B$1:$B$6230,0)),"",INDIRECT("'SorP'!$A$"&amp;MATCH($J1057,SorP!$B$1:$B$6230,0))))</f>
        <v/>
      </c>
      <c r="U1057" s="238"/>
      <c r="V1057" s="270" t="e">
        <f>IF(C1057="",NA(),MATCH($B1057&amp;$C1057,'Smelter Look-up'!$J:$J,0))</f>
        <v>#N/A</v>
      </c>
      <c r="W1057" s="271"/>
      <c r="X1057" s="271">
        <f t="shared" ca="1" si="172"/>
        <v>0</v>
      </c>
      <c r="Y1057" s="271"/>
      <c r="Z1057" s="271"/>
      <c r="AB1057" s="273" t="str">
        <f t="shared" si="173"/>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71"/>
        <v/>
      </c>
      <c r="T1058" s="222" t="str">
        <f ca="1">IF(B1058="","",IF(ISERROR(MATCH($J1058,SorP!$B$1:$B$6230,0)),"",INDIRECT("'SorP'!$A$"&amp;MATCH($J1058,SorP!$B$1:$B$6230,0))))</f>
        <v/>
      </c>
      <c r="U1058" s="238"/>
      <c r="V1058" s="270" t="e">
        <f>IF(C1058="",NA(),MATCH($B1058&amp;$C1058,'Smelter Look-up'!$J:$J,0))</f>
        <v>#N/A</v>
      </c>
      <c r="W1058" s="271"/>
      <c r="X1058" s="271">
        <f t="shared" ca="1" si="172"/>
        <v>0</v>
      </c>
      <c r="Y1058" s="271"/>
      <c r="Z1058" s="271"/>
      <c r="AB1058" s="273" t="str">
        <f t="shared" si="173"/>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71"/>
        <v/>
      </c>
      <c r="T1059" s="222" t="str">
        <f ca="1">IF(B1059="","",IF(ISERROR(MATCH($J1059,SorP!$B$1:$B$6230,0)),"",INDIRECT("'SorP'!$A$"&amp;MATCH($J1059,SorP!$B$1:$B$6230,0))))</f>
        <v/>
      </c>
      <c r="U1059" s="238"/>
      <c r="V1059" s="270" t="e">
        <f>IF(C1059="",NA(),MATCH($B1059&amp;$C1059,'Smelter Look-up'!$J:$J,0))</f>
        <v>#N/A</v>
      </c>
      <c r="W1059" s="271"/>
      <c r="X1059" s="271">
        <f t="shared" ca="1" si="172"/>
        <v>0</v>
      </c>
      <c r="Y1059" s="271"/>
      <c r="Z1059" s="271"/>
      <c r="AB1059" s="273" t="str">
        <f t="shared" si="173"/>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71"/>
        <v/>
      </c>
      <c r="T1060" s="222" t="str">
        <f ca="1">IF(B1060="","",IF(ISERROR(MATCH($J1060,SorP!$B$1:$B$6230,0)),"",INDIRECT("'SorP'!$A$"&amp;MATCH($J1060,SorP!$B$1:$B$6230,0))))</f>
        <v/>
      </c>
      <c r="U1060" s="238"/>
      <c r="V1060" s="270" t="e">
        <f>IF(C1060="",NA(),MATCH($B1060&amp;$C1060,'Smelter Look-up'!$J:$J,0))</f>
        <v>#N/A</v>
      </c>
      <c r="W1060" s="271"/>
      <c r="X1060" s="271">
        <f t="shared" ca="1" si="172"/>
        <v>0</v>
      </c>
      <c r="Y1060" s="271"/>
      <c r="Z1060" s="271"/>
      <c r="AB1060" s="273" t="str">
        <f t="shared" si="173"/>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71"/>
        <v/>
      </c>
      <c r="T1061" s="222" t="str">
        <f ca="1">IF(B1061="","",IF(ISERROR(MATCH($J1061,SorP!$B$1:$B$6230,0)),"",INDIRECT("'SorP'!$A$"&amp;MATCH($J1061,SorP!$B$1:$B$6230,0))))</f>
        <v/>
      </c>
      <c r="U1061" s="238"/>
      <c r="V1061" s="270" t="e">
        <f>IF(C1061="",NA(),MATCH($B1061&amp;$C1061,'Smelter Look-up'!$J:$J,0))</f>
        <v>#N/A</v>
      </c>
      <c r="W1061" s="271"/>
      <c r="X1061" s="271">
        <f t="shared" ca="1" si="172"/>
        <v>0</v>
      </c>
      <c r="Y1061" s="271"/>
      <c r="Z1061" s="271"/>
      <c r="AB1061" s="273" t="str">
        <f t="shared" si="173"/>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71"/>
        <v/>
      </c>
      <c r="T1062" s="222" t="str">
        <f ca="1">IF(B1062="","",IF(ISERROR(MATCH($J1062,SorP!$B$1:$B$6230,0)),"",INDIRECT("'SorP'!$A$"&amp;MATCH($J1062,SorP!$B$1:$B$6230,0))))</f>
        <v/>
      </c>
      <c r="U1062" s="238"/>
      <c r="V1062" s="270" t="e">
        <f>IF(C1062="",NA(),MATCH($B1062&amp;$C1062,'Smelter Look-up'!$J:$J,0))</f>
        <v>#N/A</v>
      </c>
      <c r="W1062" s="271"/>
      <c r="X1062" s="271">
        <f t="shared" ca="1" si="172"/>
        <v>0</v>
      </c>
      <c r="Y1062" s="271"/>
      <c r="Z1062" s="271"/>
      <c r="AB1062" s="273" t="str">
        <f t="shared" si="173"/>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71"/>
        <v/>
      </c>
      <c r="T1063" s="222" t="str">
        <f ca="1">IF(B1063="","",IF(ISERROR(MATCH($J1063,SorP!$B$1:$B$6230,0)),"",INDIRECT("'SorP'!$A$"&amp;MATCH($J1063,SorP!$B$1:$B$6230,0))))</f>
        <v/>
      </c>
      <c r="U1063" s="238"/>
      <c r="V1063" s="270" t="e">
        <f>IF(C1063="",NA(),MATCH($B1063&amp;$C1063,'Smelter Look-up'!$J:$J,0))</f>
        <v>#N/A</v>
      </c>
      <c r="W1063" s="271"/>
      <c r="X1063" s="271">
        <f t="shared" ca="1" si="172"/>
        <v>0</v>
      </c>
      <c r="Y1063" s="271"/>
      <c r="Z1063" s="271"/>
      <c r="AB1063" s="273" t="str">
        <f t="shared" si="173"/>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71"/>
        <v/>
      </c>
      <c r="T1064" s="222" t="str">
        <f ca="1">IF(B1064="","",IF(ISERROR(MATCH($J1064,SorP!$B$1:$B$6230,0)),"",INDIRECT("'SorP'!$A$"&amp;MATCH($J1064,SorP!$B$1:$B$6230,0))))</f>
        <v/>
      </c>
      <c r="U1064" s="238"/>
      <c r="V1064" s="270" t="e">
        <f>IF(C1064="",NA(),MATCH($B1064&amp;$C1064,'Smelter Look-up'!$J:$J,0))</f>
        <v>#N/A</v>
      </c>
      <c r="W1064" s="271"/>
      <c r="X1064" s="271">
        <f t="shared" ca="1" si="172"/>
        <v>0</v>
      </c>
      <c r="Y1064" s="271"/>
      <c r="Z1064" s="271"/>
      <c r="AB1064" s="273" t="str">
        <f t="shared" si="173"/>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71"/>
        <v/>
      </c>
      <c r="T1065" s="222" t="str">
        <f ca="1">IF(B1065="","",IF(ISERROR(MATCH($J1065,SorP!$B$1:$B$6230,0)),"",INDIRECT("'SorP'!$A$"&amp;MATCH($J1065,SorP!$B$1:$B$6230,0))))</f>
        <v/>
      </c>
      <c r="U1065" s="238"/>
      <c r="V1065" s="270" t="e">
        <f>IF(C1065="",NA(),MATCH($B1065&amp;$C1065,'Smelter Look-up'!$J:$J,0))</f>
        <v>#N/A</v>
      </c>
      <c r="W1065" s="271"/>
      <c r="X1065" s="271">
        <f t="shared" ca="1" si="172"/>
        <v>0</v>
      </c>
      <c r="Y1065" s="271"/>
      <c r="Z1065" s="271"/>
      <c r="AB1065" s="273" t="str">
        <f t="shared" si="173"/>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71"/>
        <v/>
      </c>
      <c r="T1066" s="222" t="str">
        <f ca="1">IF(B1066="","",IF(ISERROR(MATCH($J1066,SorP!$B$1:$B$6230,0)),"",INDIRECT("'SorP'!$A$"&amp;MATCH($J1066,SorP!$B$1:$B$6230,0))))</f>
        <v/>
      </c>
      <c r="U1066" s="238"/>
      <c r="V1066" s="270" t="e">
        <f>IF(C1066="",NA(),MATCH($B1066&amp;$C1066,'Smelter Look-up'!$J:$J,0))</f>
        <v>#N/A</v>
      </c>
      <c r="W1066" s="271"/>
      <c r="X1066" s="271">
        <f t="shared" ca="1" si="172"/>
        <v>0</v>
      </c>
      <c r="Y1066" s="271"/>
      <c r="Z1066" s="271"/>
      <c r="AB1066" s="273" t="str">
        <f t="shared" si="173"/>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71"/>
        <v/>
      </c>
      <c r="T1067" s="222" t="str">
        <f ca="1">IF(B1067="","",IF(ISERROR(MATCH($J1067,SorP!$B$1:$B$6230,0)),"",INDIRECT("'SorP'!$A$"&amp;MATCH($J1067,SorP!$B$1:$B$6230,0))))</f>
        <v/>
      </c>
      <c r="U1067" s="238"/>
      <c r="V1067" s="270" t="e">
        <f>IF(C1067="",NA(),MATCH($B1067&amp;$C1067,'Smelter Look-up'!$J:$J,0))</f>
        <v>#N/A</v>
      </c>
      <c r="W1067" s="271"/>
      <c r="X1067" s="271">
        <f t="shared" ca="1" si="172"/>
        <v>0</v>
      </c>
      <c r="Y1067" s="271"/>
      <c r="Z1067" s="271"/>
      <c r="AB1067" s="273" t="str">
        <f t="shared" si="173"/>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71"/>
        <v/>
      </c>
      <c r="T1068" s="222" t="str">
        <f ca="1">IF(B1068="","",IF(ISERROR(MATCH($J1068,SorP!$B$1:$B$6230,0)),"",INDIRECT("'SorP'!$A$"&amp;MATCH($J1068,SorP!$B$1:$B$6230,0))))</f>
        <v/>
      </c>
      <c r="U1068" s="238"/>
      <c r="V1068" s="270" t="e">
        <f>IF(C1068="",NA(),MATCH($B1068&amp;$C1068,'Smelter Look-up'!$J:$J,0))</f>
        <v>#N/A</v>
      </c>
      <c r="W1068" s="271"/>
      <c r="X1068" s="271">
        <f t="shared" ca="1" si="172"/>
        <v>0</v>
      </c>
      <c r="Y1068" s="271"/>
      <c r="Z1068" s="271"/>
      <c r="AB1068" s="273" t="str">
        <f t="shared" si="173"/>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71"/>
        <v/>
      </c>
      <c r="T1069" s="222" t="str">
        <f ca="1">IF(B1069="","",IF(ISERROR(MATCH($J1069,SorP!$B$1:$B$6230,0)),"",INDIRECT("'SorP'!$A$"&amp;MATCH($J1069,SorP!$B$1:$B$6230,0))))</f>
        <v/>
      </c>
      <c r="U1069" s="238"/>
      <c r="V1069" s="270" t="e">
        <f>IF(C1069="",NA(),MATCH($B1069&amp;$C1069,'Smelter Look-up'!$J:$J,0))</f>
        <v>#N/A</v>
      </c>
      <c r="W1069" s="271"/>
      <c r="X1069" s="271">
        <f t="shared" ca="1" si="172"/>
        <v>0</v>
      </c>
      <c r="Y1069" s="271"/>
      <c r="Z1069" s="271"/>
      <c r="AB1069" s="273" t="str">
        <f t="shared" si="173"/>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71"/>
        <v/>
      </c>
      <c r="T1070" s="222" t="str">
        <f ca="1">IF(B1070="","",IF(ISERROR(MATCH($J1070,SorP!$B$1:$B$6230,0)),"",INDIRECT("'SorP'!$A$"&amp;MATCH($J1070,SorP!$B$1:$B$6230,0))))</f>
        <v/>
      </c>
      <c r="U1070" s="238"/>
      <c r="V1070" s="270" t="e">
        <f>IF(C1070="",NA(),MATCH($B1070&amp;$C1070,'Smelter Look-up'!$J:$J,0))</f>
        <v>#N/A</v>
      </c>
      <c r="W1070" s="271"/>
      <c r="X1070" s="271">
        <f t="shared" ca="1" si="172"/>
        <v>0</v>
      </c>
      <c r="Y1070" s="271"/>
      <c r="Z1070" s="271"/>
      <c r="AB1070" s="273" t="str">
        <f t="shared" si="173"/>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71"/>
        <v/>
      </c>
      <c r="T1071" s="222" t="str">
        <f ca="1">IF(B1071="","",IF(ISERROR(MATCH($J1071,SorP!$B$1:$B$6230,0)),"",INDIRECT("'SorP'!$A$"&amp;MATCH($J1071,SorP!$B$1:$B$6230,0))))</f>
        <v/>
      </c>
      <c r="U1071" s="238"/>
      <c r="V1071" s="270" t="e">
        <f>IF(C1071="",NA(),MATCH($B1071&amp;$C1071,'Smelter Look-up'!$J:$J,0))</f>
        <v>#N/A</v>
      </c>
      <c r="W1071" s="271"/>
      <c r="X1071" s="271">
        <f t="shared" ca="1" si="172"/>
        <v>0</v>
      </c>
      <c r="Y1071" s="271"/>
      <c r="Z1071" s="271"/>
      <c r="AB1071" s="273" t="str">
        <f t="shared" si="173"/>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71"/>
        <v/>
      </c>
      <c r="T1072" s="222" t="str">
        <f ca="1">IF(B1072="","",IF(ISERROR(MATCH($J1072,SorP!$B$1:$B$6230,0)),"",INDIRECT("'SorP'!$A$"&amp;MATCH($J1072,SorP!$B$1:$B$6230,0))))</f>
        <v/>
      </c>
      <c r="U1072" s="238"/>
      <c r="V1072" s="270" t="e">
        <f>IF(C1072="",NA(),MATCH($B1072&amp;$C1072,'Smelter Look-up'!$J:$J,0))</f>
        <v>#N/A</v>
      </c>
      <c r="W1072" s="271"/>
      <c r="X1072" s="271">
        <f t="shared" ca="1" si="172"/>
        <v>0</v>
      </c>
      <c r="Y1072" s="271"/>
      <c r="Z1072" s="271"/>
      <c r="AB1072" s="273" t="str">
        <f t="shared" si="173"/>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71"/>
        <v/>
      </c>
      <c r="T1073" s="222" t="str">
        <f ca="1">IF(B1073="","",IF(ISERROR(MATCH($J1073,SorP!$B$1:$B$6230,0)),"",INDIRECT("'SorP'!$A$"&amp;MATCH($J1073,SorP!$B$1:$B$6230,0))))</f>
        <v/>
      </c>
      <c r="U1073" s="238"/>
      <c r="V1073" s="270" t="e">
        <f>IF(C1073="",NA(),MATCH($B1073&amp;$C1073,'Smelter Look-up'!$J:$J,0))</f>
        <v>#N/A</v>
      </c>
      <c r="W1073" s="271"/>
      <c r="X1073" s="271">
        <f t="shared" ca="1" si="172"/>
        <v>0</v>
      </c>
      <c r="Y1073" s="271"/>
      <c r="Z1073" s="271"/>
      <c r="AB1073" s="273" t="str">
        <f t="shared" si="173"/>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71"/>
        <v/>
      </c>
      <c r="T1074" s="222" t="str">
        <f ca="1">IF(B1074="","",IF(ISERROR(MATCH($J1074,SorP!$B$1:$B$6230,0)),"",INDIRECT("'SorP'!$A$"&amp;MATCH($J1074,SorP!$B$1:$B$6230,0))))</f>
        <v/>
      </c>
      <c r="U1074" s="238"/>
      <c r="V1074" s="270" t="e">
        <f>IF(C1074="",NA(),MATCH($B1074&amp;$C1074,'Smelter Look-up'!$J:$J,0))</f>
        <v>#N/A</v>
      </c>
      <c r="W1074" s="271"/>
      <c r="X1074" s="271">
        <f t="shared" ca="1" si="172"/>
        <v>0</v>
      </c>
      <c r="Y1074" s="271"/>
      <c r="Z1074" s="271"/>
      <c r="AB1074" s="273" t="str">
        <f t="shared" si="173"/>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71"/>
        <v/>
      </c>
      <c r="T1075" s="222" t="str">
        <f ca="1">IF(B1075="","",IF(ISERROR(MATCH($J1075,SorP!$B$1:$B$6230,0)),"",INDIRECT("'SorP'!$A$"&amp;MATCH($J1075,SorP!$B$1:$B$6230,0))))</f>
        <v/>
      </c>
      <c r="U1075" s="238"/>
      <c r="V1075" s="270" t="e">
        <f>IF(C1075="",NA(),MATCH($B1075&amp;$C1075,'Smelter Look-up'!$J:$J,0))</f>
        <v>#N/A</v>
      </c>
      <c r="W1075" s="271"/>
      <c r="X1075" s="271">
        <f t="shared" ca="1" si="172"/>
        <v>0</v>
      </c>
      <c r="Y1075" s="271"/>
      <c r="Z1075" s="271"/>
      <c r="AB1075" s="273" t="str">
        <f t="shared" si="173"/>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71"/>
        <v/>
      </c>
      <c r="T1076" s="222" t="str">
        <f ca="1">IF(B1076="","",IF(ISERROR(MATCH($J1076,SorP!$B$1:$B$6230,0)),"",INDIRECT("'SorP'!$A$"&amp;MATCH($J1076,SorP!$B$1:$B$6230,0))))</f>
        <v/>
      </c>
      <c r="U1076" s="238"/>
      <c r="V1076" s="270" t="e">
        <f>IF(C1076="",NA(),MATCH($B1076&amp;$C1076,'Smelter Look-up'!$J:$J,0))</f>
        <v>#N/A</v>
      </c>
      <c r="W1076" s="271"/>
      <c r="X1076" s="271">
        <f t="shared" ca="1" si="172"/>
        <v>0</v>
      </c>
      <c r="Y1076" s="271"/>
      <c r="Z1076" s="271"/>
      <c r="AB1076" s="273" t="str">
        <f t="shared" si="173"/>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71"/>
        <v/>
      </c>
      <c r="T1077" s="222" t="str">
        <f ca="1">IF(B1077="","",IF(ISERROR(MATCH($J1077,SorP!$B$1:$B$6230,0)),"",INDIRECT("'SorP'!$A$"&amp;MATCH($J1077,SorP!$B$1:$B$6230,0))))</f>
        <v/>
      </c>
      <c r="U1077" s="238"/>
      <c r="V1077" s="270" t="e">
        <f>IF(C1077="",NA(),MATCH($B1077&amp;$C1077,'Smelter Look-up'!$J:$J,0))</f>
        <v>#N/A</v>
      </c>
      <c r="W1077" s="271"/>
      <c r="X1077" s="271">
        <f t="shared" ca="1" si="172"/>
        <v>0</v>
      </c>
      <c r="Y1077" s="271"/>
      <c r="Z1077" s="271"/>
      <c r="AB1077" s="273" t="str">
        <f t="shared" si="173"/>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71"/>
        <v/>
      </c>
      <c r="T1078" s="222" t="str">
        <f ca="1">IF(B1078="","",IF(ISERROR(MATCH($J1078,SorP!$B$1:$B$6230,0)),"",INDIRECT("'SorP'!$A$"&amp;MATCH($J1078,SorP!$B$1:$B$6230,0))))</f>
        <v/>
      </c>
      <c r="U1078" s="238"/>
      <c r="V1078" s="270" t="e">
        <f>IF(C1078="",NA(),MATCH($B1078&amp;$C1078,'Smelter Look-up'!$J:$J,0))</f>
        <v>#N/A</v>
      </c>
      <c r="W1078" s="271"/>
      <c r="X1078" s="271">
        <f t="shared" ca="1" si="172"/>
        <v>0</v>
      </c>
      <c r="Y1078" s="271"/>
      <c r="Z1078" s="271"/>
      <c r="AB1078" s="273" t="str">
        <f t="shared" si="173"/>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71"/>
        <v/>
      </c>
      <c r="T1079" s="222" t="str">
        <f ca="1">IF(B1079="","",IF(ISERROR(MATCH($J1079,SorP!$B$1:$B$6230,0)),"",INDIRECT("'SorP'!$A$"&amp;MATCH($J1079,SorP!$B$1:$B$6230,0))))</f>
        <v/>
      </c>
      <c r="U1079" s="238"/>
      <c r="V1079" s="270" t="e">
        <f>IF(C1079="",NA(),MATCH($B1079&amp;$C1079,'Smelter Look-up'!$J:$J,0))</f>
        <v>#N/A</v>
      </c>
      <c r="W1079" s="271"/>
      <c r="X1079" s="271">
        <f t="shared" ca="1" si="172"/>
        <v>0</v>
      </c>
      <c r="Y1079" s="271"/>
      <c r="Z1079" s="271"/>
      <c r="AB1079" s="273" t="str">
        <f t="shared" si="173"/>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71"/>
        <v/>
      </c>
      <c r="T1080" s="222" t="str">
        <f ca="1">IF(B1080="","",IF(ISERROR(MATCH($J1080,SorP!$B$1:$B$6230,0)),"",INDIRECT("'SorP'!$A$"&amp;MATCH($J1080,SorP!$B$1:$B$6230,0))))</f>
        <v/>
      </c>
      <c r="U1080" s="238"/>
      <c r="V1080" s="270" t="e">
        <f>IF(C1080="",NA(),MATCH($B1080&amp;$C1080,'Smelter Look-up'!$J:$J,0))</f>
        <v>#N/A</v>
      </c>
      <c r="W1080" s="271"/>
      <c r="X1080" s="271">
        <f t="shared" ca="1" si="172"/>
        <v>0</v>
      </c>
      <c r="Y1080" s="271"/>
      <c r="Z1080" s="271"/>
      <c r="AB1080" s="273" t="str">
        <f t="shared" si="173"/>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ref="S1081:S1111" ca="1" si="174">IF(B1081="","",IF(ISERROR(MATCH($E1081,CL,0)),"Unknown",INDIRECT("'C'!$A$"&amp;MATCH($E1081,CL,0)+1)))</f>
        <v/>
      </c>
      <c r="T1081" s="222" t="str">
        <f ca="1">IF(B1081="","",IF(ISERROR(MATCH($J1081,SorP!$B$1:$B$6230,0)),"",INDIRECT("'SorP'!$A$"&amp;MATCH($J1081,SorP!$B$1:$B$6230,0))))</f>
        <v/>
      </c>
      <c r="U1081" s="238"/>
      <c r="V1081" s="270" t="e">
        <f>IF(C1081="",NA(),MATCH($B1081&amp;$C1081,'Smelter Look-up'!$J:$J,0))</f>
        <v>#N/A</v>
      </c>
      <c r="W1081" s="271"/>
      <c r="X1081" s="271">
        <f t="shared" ref="X1081:X1111" ca="1" si="175">IF(AND(C1081="Smelter not listed",OR(LEN(D1081)=0,LEN(E1081)=0)),1,0)</f>
        <v>0</v>
      </c>
      <c r="Y1081" s="271"/>
      <c r="Z1081" s="271"/>
      <c r="AB1081" s="273" t="str">
        <f t="shared" ref="AB1081:AB1111" si="176">B1081&amp;C1081</f>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74"/>
        <v/>
      </c>
      <c r="T1082" s="222" t="str">
        <f ca="1">IF(B1082="","",IF(ISERROR(MATCH($J1082,SorP!$B$1:$B$6230,0)),"",INDIRECT("'SorP'!$A$"&amp;MATCH($J1082,SorP!$B$1:$B$6230,0))))</f>
        <v/>
      </c>
      <c r="U1082" s="238"/>
      <c r="V1082" s="270" t="e">
        <f>IF(C1082="",NA(),MATCH($B1082&amp;$C1082,'Smelter Look-up'!$J:$J,0))</f>
        <v>#N/A</v>
      </c>
      <c r="W1082" s="271"/>
      <c r="X1082" s="271">
        <f t="shared" ca="1" si="175"/>
        <v>0</v>
      </c>
      <c r="Y1082" s="271"/>
      <c r="Z1082" s="271"/>
      <c r="AB1082" s="273" t="str">
        <f t="shared" si="176"/>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ca="1" si="174"/>
        <v/>
      </c>
      <c r="T1083" s="222" t="str">
        <f ca="1">IF(B1083="","",IF(ISERROR(MATCH($J1083,SorP!$B$1:$B$6230,0)),"",INDIRECT("'SorP'!$A$"&amp;MATCH($J1083,SorP!$B$1:$B$6230,0))))</f>
        <v/>
      </c>
      <c r="U1083" s="238"/>
      <c r="V1083" s="270" t="e">
        <f>IF(C1083="",NA(),MATCH($B1083&amp;$C1083,'Smelter Look-up'!$J:$J,0))</f>
        <v>#N/A</v>
      </c>
      <c r="W1083" s="271"/>
      <c r="X1083" s="271">
        <f t="shared" ca="1" si="175"/>
        <v>0</v>
      </c>
      <c r="Y1083" s="271"/>
      <c r="Z1083" s="271"/>
      <c r="AB1083" s="273" t="str">
        <f t="shared" si="176"/>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ca="1" si="174"/>
        <v/>
      </c>
      <c r="T1084" s="222" t="str">
        <f ca="1">IF(B1084="","",IF(ISERROR(MATCH($J1084,SorP!$B$1:$B$6230,0)),"",INDIRECT("'SorP'!$A$"&amp;MATCH($J1084,SorP!$B$1:$B$6230,0))))</f>
        <v/>
      </c>
      <c r="U1084" s="238"/>
      <c r="V1084" s="270" t="e">
        <f>IF(C1084="",NA(),MATCH($B1084&amp;$C1084,'Smelter Look-up'!$J:$J,0))</f>
        <v>#N/A</v>
      </c>
      <c r="W1084" s="271"/>
      <c r="X1084" s="271">
        <f t="shared" ca="1" si="175"/>
        <v>0</v>
      </c>
      <c r="Y1084" s="271"/>
      <c r="Z1084" s="271"/>
      <c r="AB1084" s="273" t="str">
        <f t="shared" si="176"/>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74"/>
        <v/>
      </c>
      <c r="T1085" s="222" t="str">
        <f ca="1">IF(B1085="","",IF(ISERROR(MATCH($J1085,SorP!$B$1:$B$6230,0)),"",INDIRECT("'SorP'!$A$"&amp;MATCH($J1085,SorP!$B$1:$B$6230,0))))</f>
        <v/>
      </c>
      <c r="U1085" s="238"/>
      <c r="V1085" s="270" t="e">
        <f>IF(C1085="",NA(),MATCH($B1085&amp;$C1085,'Smelter Look-up'!$J:$J,0))</f>
        <v>#N/A</v>
      </c>
      <c r="W1085" s="271"/>
      <c r="X1085" s="271">
        <f t="shared" ca="1" si="175"/>
        <v>0</v>
      </c>
      <c r="Y1085" s="271"/>
      <c r="Z1085" s="271"/>
      <c r="AB1085" s="273" t="str">
        <f t="shared" si="176"/>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74"/>
        <v/>
      </c>
      <c r="T1086" s="222" t="str">
        <f ca="1">IF(B1086="","",IF(ISERROR(MATCH($J1086,SorP!$B$1:$B$6230,0)),"",INDIRECT("'SorP'!$A$"&amp;MATCH($J1086,SorP!$B$1:$B$6230,0))))</f>
        <v/>
      </c>
      <c r="U1086" s="238"/>
      <c r="V1086" s="270" t="e">
        <f>IF(C1086="",NA(),MATCH($B1086&amp;$C1086,'Smelter Look-up'!$J:$J,0))</f>
        <v>#N/A</v>
      </c>
      <c r="W1086" s="271"/>
      <c r="X1086" s="271">
        <f t="shared" ca="1" si="175"/>
        <v>0</v>
      </c>
      <c r="Y1086" s="271"/>
      <c r="Z1086" s="271"/>
      <c r="AB1086" s="273" t="str">
        <f t="shared" si="176"/>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74"/>
        <v/>
      </c>
      <c r="T1087" s="222" t="str">
        <f ca="1">IF(B1087="","",IF(ISERROR(MATCH($J1087,SorP!$B$1:$B$6230,0)),"",INDIRECT("'SorP'!$A$"&amp;MATCH($J1087,SorP!$B$1:$B$6230,0))))</f>
        <v/>
      </c>
      <c r="U1087" s="238"/>
      <c r="V1087" s="270" t="e">
        <f>IF(C1087="",NA(),MATCH($B1087&amp;$C1087,'Smelter Look-up'!$J:$J,0))</f>
        <v>#N/A</v>
      </c>
      <c r="W1087" s="271"/>
      <c r="X1087" s="271">
        <f t="shared" ca="1" si="175"/>
        <v>0</v>
      </c>
      <c r="Y1087" s="271"/>
      <c r="Z1087" s="271"/>
      <c r="AB1087" s="273" t="str">
        <f t="shared" si="176"/>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74"/>
        <v/>
      </c>
      <c r="T1088" s="222" t="str">
        <f ca="1">IF(B1088="","",IF(ISERROR(MATCH($J1088,SorP!$B$1:$B$6230,0)),"",INDIRECT("'SorP'!$A$"&amp;MATCH($J1088,SorP!$B$1:$B$6230,0))))</f>
        <v/>
      </c>
      <c r="U1088" s="238"/>
      <c r="V1088" s="270" t="e">
        <f>IF(C1088="",NA(),MATCH($B1088&amp;$C1088,'Smelter Look-up'!$J:$J,0))</f>
        <v>#N/A</v>
      </c>
      <c r="W1088" s="271"/>
      <c r="X1088" s="271">
        <f t="shared" ca="1" si="175"/>
        <v>0</v>
      </c>
      <c r="Y1088" s="271"/>
      <c r="Z1088" s="271"/>
      <c r="AB1088" s="273" t="str">
        <f t="shared" si="176"/>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74"/>
        <v/>
      </c>
      <c r="T1089" s="222" t="str">
        <f ca="1">IF(B1089="","",IF(ISERROR(MATCH($J1089,SorP!$B$1:$B$6230,0)),"",INDIRECT("'SorP'!$A$"&amp;MATCH($J1089,SorP!$B$1:$B$6230,0))))</f>
        <v/>
      </c>
      <c r="U1089" s="238"/>
      <c r="V1089" s="270" t="e">
        <f>IF(C1089="",NA(),MATCH($B1089&amp;$C1089,'Smelter Look-up'!$J:$J,0))</f>
        <v>#N/A</v>
      </c>
      <c r="W1089" s="271"/>
      <c r="X1089" s="271">
        <f t="shared" ca="1" si="175"/>
        <v>0</v>
      </c>
      <c r="Y1089" s="271"/>
      <c r="Z1089" s="271"/>
      <c r="AB1089" s="273" t="str">
        <f t="shared" si="176"/>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74"/>
        <v/>
      </c>
      <c r="T1090" s="222" t="str">
        <f ca="1">IF(B1090="","",IF(ISERROR(MATCH($J1090,SorP!$B$1:$B$6230,0)),"",INDIRECT("'SorP'!$A$"&amp;MATCH($J1090,SorP!$B$1:$B$6230,0))))</f>
        <v/>
      </c>
      <c r="U1090" s="238"/>
      <c r="V1090" s="270" t="e">
        <f>IF(C1090="",NA(),MATCH($B1090&amp;$C1090,'Smelter Look-up'!$J:$J,0))</f>
        <v>#N/A</v>
      </c>
      <c r="W1090" s="271"/>
      <c r="X1090" s="271">
        <f t="shared" ca="1" si="175"/>
        <v>0</v>
      </c>
      <c r="Y1090" s="271"/>
      <c r="Z1090" s="271"/>
      <c r="AB1090" s="273" t="str">
        <f t="shared" si="176"/>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74"/>
        <v/>
      </c>
      <c r="T1091" s="222" t="str">
        <f ca="1">IF(B1091="","",IF(ISERROR(MATCH($J1091,SorP!$B$1:$B$6230,0)),"",INDIRECT("'SorP'!$A$"&amp;MATCH($J1091,SorP!$B$1:$B$6230,0))))</f>
        <v/>
      </c>
      <c r="U1091" s="238"/>
      <c r="V1091" s="270" t="e">
        <f>IF(C1091="",NA(),MATCH($B1091&amp;$C1091,'Smelter Look-up'!$J:$J,0))</f>
        <v>#N/A</v>
      </c>
      <c r="W1091" s="271"/>
      <c r="X1091" s="271">
        <f t="shared" ca="1" si="175"/>
        <v>0</v>
      </c>
      <c r="Y1091" s="271"/>
      <c r="Z1091" s="271"/>
      <c r="AB1091" s="273" t="str">
        <f t="shared" si="176"/>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74"/>
        <v/>
      </c>
      <c r="T1092" s="222" t="str">
        <f ca="1">IF(B1092="","",IF(ISERROR(MATCH($J1092,SorP!$B$1:$B$6230,0)),"",INDIRECT("'SorP'!$A$"&amp;MATCH($J1092,SorP!$B$1:$B$6230,0))))</f>
        <v/>
      </c>
      <c r="U1092" s="238"/>
      <c r="V1092" s="270" t="e">
        <f>IF(C1092="",NA(),MATCH($B1092&amp;$C1092,'Smelter Look-up'!$J:$J,0))</f>
        <v>#N/A</v>
      </c>
      <c r="W1092" s="271"/>
      <c r="X1092" s="271">
        <f t="shared" ca="1" si="175"/>
        <v>0</v>
      </c>
      <c r="Y1092" s="271"/>
      <c r="Z1092" s="271"/>
      <c r="AB1092" s="273" t="str">
        <f t="shared" si="176"/>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74"/>
        <v/>
      </c>
      <c r="T1093" s="222" t="str">
        <f ca="1">IF(B1093="","",IF(ISERROR(MATCH($J1093,SorP!$B$1:$B$6230,0)),"",INDIRECT("'SorP'!$A$"&amp;MATCH($J1093,SorP!$B$1:$B$6230,0))))</f>
        <v/>
      </c>
      <c r="U1093" s="238"/>
      <c r="V1093" s="270" t="e">
        <f>IF(C1093="",NA(),MATCH($B1093&amp;$C1093,'Smelter Look-up'!$J:$J,0))</f>
        <v>#N/A</v>
      </c>
      <c r="W1093" s="271"/>
      <c r="X1093" s="271">
        <f t="shared" ca="1" si="175"/>
        <v>0</v>
      </c>
      <c r="Y1093" s="271"/>
      <c r="Z1093" s="271"/>
      <c r="AB1093" s="273" t="str">
        <f t="shared" si="176"/>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74"/>
        <v/>
      </c>
      <c r="T1094" s="222" t="str">
        <f ca="1">IF(B1094="","",IF(ISERROR(MATCH($J1094,SorP!$B$1:$B$6230,0)),"",INDIRECT("'SorP'!$A$"&amp;MATCH($J1094,SorP!$B$1:$B$6230,0))))</f>
        <v/>
      </c>
      <c r="U1094" s="238"/>
      <c r="V1094" s="270" t="e">
        <f>IF(C1094="",NA(),MATCH($B1094&amp;$C1094,'Smelter Look-up'!$J:$J,0))</f>
        <v>#N/A</v>
      </c>
      <c r="W1094" s="271"/>
      <c r="X1094" s="271">
        <f t="shared" ca="1" si="175"/>
        <v>0</v>
      </c>
      <c r="Y1094" s="271"/>
      <c r="Z1094" s="271"/>
      <c r="AB1094" s="273" t="str">
        <f t="shared" si="176"/>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74"/>
        <v/>
      </c>
      <c r="T1095" s="222" t="str">
        <f ca="1">IF(B1095="","",IF(ISERROR(MATCH($J1095,SorP!$B$1:$B$6230,0)),"",INDIRECT("'SorP'!$A$"&amp;MATCH($J1095,SorP!$B$1:$B$6230,0))))</f>
        <v/>
      </c>
      <c r="U1095" s="238"/>
      <c r="V1095" s="270" t="e">
        <f>IF(C1095="",NA(),MATCH($B1095&amp;$C1095,'Smelter Look-up'!$J:$J,0))</f>
        <v>#N/A</v>
      </c>
      <c r="W1095" s="271"/>
      <c r="X1095" s="271">
        <f t="shared" ca="1" si="175"/>
        <v>0</v>
      </c>
      <c r="Y1095" s="271"/>
      <c r="Z1095" s="271"/>
      <c r="AB1095" s="273" t="str">
        <f t="shared" si="176"/>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74"/>
        <v/>
      </c>
      <c r="T1096" s="222" t="str">
        <f ca="1">IF(B1096="","",IF(ISERROR(MATCH($J1096,SorP!$B$1:$B$6230,0)),"",INDIRECT("'SorP'!$A$"&amp;MATCH($J1096,SorP!$B$1:$B$6230,0))))</f>
        <v/>
      </c>
      <c r="U1096" s="238"/>
      <c r="V1096" s="270" t="e">
        <f>IF(C1096="",NA(),MATCH($B1096&amp;$C1096,'Smelter Look-up'!$J:$J,0))</f>
        <v>#N/A</v>
      </c>
      <c r="W1096" s="271"/>
      <c r="X1096" s="271">
        <f t="shared" ca="1" si="175"/>
        <v>0</v>
      </c>
      <c r="Y1096" s="271"/>
      <c r="Z1096" s="271"/>
      <c r="AB1096" s="273" t="str">
        <f t="shared" si="176"/>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74"/>
        <v/>
      </c>
      <c r="T1097" s="222" t="str">
        <f ca="1">IF(B1097="","",IF(ISERROR(MATCH($J1097,SorP!$B$1:$B$6230,0)),"",INDIRECT("'SorP'!$A$"&amp;MATCH($J1097,SorP!$B$1:$B$6230,0))))</f>
        <v/>
      </c>
      <c r="U1097" s="238"/>
      <c r="V1097" s="270" t="e">
        <f>IF(C1097="",NA(),MATCH($B1097&amp;$C1097,'Smelter Look-up'!$J:$J,0))</f>
        <v>#N/A</v>
      </c>
      <c r="W1097" s="271"/>
      <c r="X1097" s="271">
        <f t="shared" ca="1" si="175"/>
        <v>0</v>
      </c>
      <c r="Y1097" s="271"/>
      <c r="Z1097" s="271"/>
      <c r="AB1097" s="273" t="str">
        <f t="shared" si="176"/>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74"/>
        <v/>
      </c>
      <c r="T1098" s="222" t="str">
        <f ca="1">IF(B1098="","",IF(ISERROR(MATCH($J1098,SorP!$B$1:$B$6230,0)),"",INDIRECT("'SorP'!$A$"&amp;MATCH($J1098,SorP!$B$1:$B$6230,0))))</f>
        <v/>
      </c>
      <c r="U1098" s="238"/>
      <c r="V1098" s="270" t="e">
        <f>IF(C1098="",NA(),MATCH($B1098&amp;$C1098,'Smelter Look-up'!$J:$J,0))</f>
        <v>#N/A</v>
      </c>
      <c r="W1098" s="271"/>
      <c r="X1098" s="271">
        <f t="shared" ca="1" si="175"/>
        <v>0</v>
      </c>
      <c r="Y1098" s="271"/>
      <c r="Z1098" s="271"/>
      <c r="AB1098" s="273" t="str">
        <f t="shared" si="176"/>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74"/>
        <v/>
      </c>
      <c r="T1099" s="222" t="str">
        <f ca="1">IF(B1099="","",IF(ISERROR(MATCH($J1099,SorP!$B$1:$B$6230,0)),"",INDIRECT("'SorP'!$A$"&amp;MATCH($J1099,SorP!$B$1:$B$6230,0))))</f>
        <v/>
      </c>
      <c r="U1099" s="238"/>
      <c r="V1099" s="270" t="e">
        <f>IF(C1099="",NA(),MATCH($B1099&amp;$C1099,'Smelter Look-up'!$J:$J,0))</f>
        <v>#N/A</v>
      </c>
      <c r="W1099" s="271"/>
      <c r="X1099" s="271">
        <f t="shared" ca="1" si="175"/>
        <v>0</v>
      </c>
      <c r="Y1099" s="271"/>
      <c r="Z1099" s="271"/>
      <c r="AB1099" s="273" t="str">
        <f t="shared" si="176"/>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74"/>
        <v/>
      </c>
      <c r="T1100" s="222" t="str">
        <f ca="1">IF(B1100="","",IF(ISERROR(MATCH($J1100,SorP!$B$1:$B$6230,0)),"",INDIRECT("'SorP'!$A$"&amp;MATCH($J1100,SorP!$B$1:$B$6230,0))))</f>
        <v/>
      </c>
      <c r="U1100" s="238"/>
      <c r="V1100" s="270" t="e">
        <f>IF(C1100="",NA(),MATCH($B1100&amp;$C1100,'Smelter Look-up'!$J:$J,0))</f>
        <v>#N/A</v>
      </c>
      <c r="W1100" s="271"/>
      <c r="X1100" s="271">
        <f t="shared" ca="1" si="175"/>
        <v>0</v>
      </c>
      <c r="Y1100" s="271"/>
      <c r="Z1100" s="271"/>
      <c r="AB1100" s="273" t="str">
        <f t="shared" si="176"/>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74"/>
        <v/>
      </c>
      <c r="T1101" s="222" t="str">
        <f ca="1">IF(B1101="","",IF(ISERROR(MATCH($J1101,SorP!$B$1:$B$6230,0)),"",INDIRECT("'SorP'!$A$"&amp;MATCH($J1101,SorP!$B$1:$B$6230,0))))</f>
        <v/>
      </c>
      <c r="U1101" s="238"/>
      <c r="V1101" s="270" t="e">
        <f>IF(C1101="",NA(),MATCH($B1101&amp;$C1101,'Smelter Look-up'!$J:$J,0))</f>
        <v>#N/A</v>
      </c>
      <c r="W1101" s="271"/>
      <c r="X1101" s="271">
        <f t="shared" ca="1" si="175"/>
        <v>0</v>
      </c>
      <c r="Y1101" s="271"/>
      <c r="Z1101" s="271"/>
      <c r="AB1101" s="273" t="str">
        <f t="shared" si="176"/>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74"/>
        <v/>
      </c>
      <c r="T1102" s="222" t="str">
        <f ca="1">IF(B1102="","",IF(ISERROR(MATCH($J1102,SorP!$B$1:$B$6230,0)),"",INDIRECT("'SorP'!$A$"&amp;MATCH($J1102,SorP!$B$1:$B$6230,0))))</f>
        <v/>
      </c>
      <c r="U1102" s="238"/>
      <c r="V1102" s="270" t="e">
        <f>IF(C1102="",NA(),MATCH($B1102&amp;$C1102,'Smelter Look-up'!$J:$J,0))</f>
        <v>#N/A</v>
      </c>
      <c r="W1102" s="271"/>
      <c r="X1102" s="271">
        <f t="shared" ca="1" si="175"/>
        <v>0</v>
      </c>
      <c r="Y1102" s="271"/>
      <c r="Z1102" s="271"/>
      <c r="AB1102" s="273" t="str">
        <f t="shared" si="176"/>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74"/>
        <v/>
      </c>
      <c r="T1103" s="222" t="str">
        <f ca="1">IF(B1103="","",IF(ISERROR(MATCH($J1103,SorP!$B$1:$B$6230,0)),"",INDIRECT("'SorP'!$A$"&amp;MATCH($J1103,SorP!$B$1:$B$6230,0))))</f>
        <v/>
      </c>
      <c r="U1103" s="238"/>
      <c r="V1103" s="270" t="e">
        <f>IF(C1103="",NA(),MATCH($B1103&amp;$C1103,'Smelter Look-up'!$J:$J,0))</f>
        <v>#N/A</v>
      </c>
      <c r="W1103" s="271"/>
      <c r="X1103" s="271">
        <f t="shared" ca="1" si="175"/>
        <v>0</v>
      </c>
      <c r="Y1103" s="271"/>
      <c r="Z1103" s="271"/>
      <c r="AB1103" s="273" t="str">
        <f t="shared" si="176"/>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74"/>
        <v/>
      </c>
      <c r="T1104" s="222" t="str">
        <f ca="1">IF(B1104="","",IF(ISERROR(MATCH($J1104,SorP!$B$1:$B$6230,0)),"",INDIRECT("'SorP'!$A$"&amp;MATCH($J1104,SorP!$B$1:$B$6230,0))))</f>
        <v/>
      </c>
      <c r="U1104" s="238"/>
      <c r="V1104" s="270" t="e">
        <f>IF(C1104="",NA(),MATCH($B1104&amp;$C1104,'Smelter Look-up'!$J:$J,0))</f>
        <v>#N/A</v>
      </c>
      <c r="W1104" s="271"/>
      <c r="X1104" s="271">
        <f t="shared" ca="1" si="175"/>
        <v>0</v>
      </c>
      <c r="Y1104" s="271"/>
      <c r="Z1104" s="271"/>
      <c r="AB1104" s="273" t="str">
        <f t="shared" si="176"/>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74"/>
        <v/>
      </c>
      <c r="T1105" s="222" t="str">
        <f ca="1">IF(B1105="","",IF(ISERROR(MATCH($J1105,SorP!$B$1:$B$6230,0)),"",INDIRECT("'SorP'!$A$"&amp;MATCH($J1105,SorP!$B$1:$B$6230,0))))</f>
        <v/>
      </c>
      <c r="U1105" s="238"/>
      <c r="V1105" s="270" t="e">
        <f>IF(C1105="",NA(),MATCH($B1105&amp;$C1105,'Smelter Look-up'!$J:$J,0))</f>
        <v>#N/A</v>
      </c>
      <c r="W1105" s="271"/>
      <c r="X1105" s="271">
        <f t="shared" ca="1" si="175"/>
        <v>0</v>
      </c>
      <c r="Y1105" s="271"/>
      <c r="Z1105" s="271"/>
      <c r="AB1105" s="273" t="str">
        <f t="shared" si="176"/>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74"/>
        <v/>
      </c>
      <c r="T1106" s="222" t="str">
        <f ca="1">IF(B1106="","",IF(ISERROR(MATCH($J1106,SorP!$B$1:$B$6230,0)),"",INDIRECT("'SorP'!$A$"&amp;MATCH($J1106,SorP!$B$1:$B$6230,0))))</f>
        <v/>
      </c>
      <c r="U1106" s="238"/>
      <c r="V1106" s="270" t="e">
        <f>IF(C1106="",NA(),MATCH($B1106&amp;$C1106,'Smelter Look-up'!$J:$J,0))</f>
        <v>#N/A</v>
      </c>
      <c r="W1106" s="271"/>
      <c r="X1106" s="271">
        <f t="shared" ca="1" si="175"/>
        <v>0</v>
      </c>
      <c r="Y1106" s="271"/>
      <c r="Z1106" s="271"/>
      <c r="AB1106" s="273" t="str">
        <f t="shared" si="176"/>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74"/>
        <v/>
      </c>
      <c r="T1107" s="222" t="str">
        <f ca="1">IF(B1107="","",IF(ISERROR(MATCH($J1107,SorP!$B$1:$B$6230,0)),"",INDIRECT("'SorP'!$A$"&amp;MATCH($J1107,SorP!$B$1:$B$6230,0))))</f>
        <v/>
      </c>
      <c r="U1107" s="238"/>
      <c r="V1107" s="270" t="e">
        <f>IF(C1107="",NA(),MATCH($B1107&amp;$C1107,'Smelter Look-up'!$J:$J,0))</f>
        <v>#N/A</v>
      </c>
      <c r="W1107" s="271"/>
      <c r="X1107" s="271">
        <f t="shared" ca="1" si="175"/>
        <v>0</v>
      </c>
      <c r="Y1107" s="271"/>
      <c r="Z1107" s="271"/>
      <c r="AB1107" s="273" t="str">
        <f t="shared" si="176"/>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74"/>
        <v/>
      </c>
      <c r="T1108" s="222" t="str">
        <f ca="1">IF(B1108="","",IF(ISERROR(MATCH($J1108,SorP!$B$1:$B$6230,0)),"",INDIRECT("'SorP'!$A$"&amp;MATCH($J1108,SorP!$B$1:$B$6230,0))))</f>
        <v/>
      </c>
      <c r="U1108" s="238"/>
      <c r="V1108" s="270" t="e">
        <f>IF(C1108="",NA(),MATCH($B1108&amp;$C1108,'Smelter Look-up'!$J:$J,0))</f>
        <v>#N/A</v>
      </c>
      <c r="W1108" s="271"/>
      <c r="X1108" s="271">
        <f t="shared" ca="1" si="175"/>
        <v>0</v>
      </c>
      <c r="Y1108" s="271"/>
      <c r="Z1108" s="271"/>
      <c r="AB1108" s="273" t="str">
        <f t="shared" si="176"/>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74"/>
        <v/>
      </c>
      <c r="T1109" s="222" t="str">
        <f ca="1">IF(B1109="","",IF(ISERROR(MATCH($J1109,SorP!$B$1:$B$6230,0)),"",INDIRECT("'SorP'!$A$"&amp;MATCH($J1109,SorP!$B$1:$B$6230,0))))</f>
        <v/>
      </c>
      <c r="U1109" s="238"/>
      <c r="V1109" s="270" t="e">
        <f>IF(C1109="",NA(),MATCH($B1109&amp;$C1109,'Smelter Look-up'!$J:$J,0))</f>
        <v>#N/A</v>
      </c>
      <c r="W1109" s="271"/>
      <c r="X1109" s="271">
        <f t="shared" ca="1" si="175"/>
        <v>0</v>
      </c>
      <c r="Y1109" s="271"/>
      <c r="Z1109" s="271"/>
      <c r="AB1109" s="273" t="str">
        <f t="shared" si="176"/>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74"/>
        <v/>
      </c>
      <c r="T1110" s="222" t="str">
        <f ca="1">IF(B1110="","",IF(ISERROR(MATCH($J1110,SorP!$B$1:$B$6230,0)),"",INDIRECT("'SorP'!$A$"&amp;MATCH($J1110,SorP!$B$1:$B$6230,0))))</f>
        <v/>
      </c>
      <c r="U1110" s="238"/>
      <c r="V1110" s="270" t="e">
        <f>IF(C1110="",NA(),MATCH($B1110&amp;$C1110,'Smelter Look-up'!$J:$J,0))</f>
        <v>#N/A</v>
      </c>
      <c r="W1110" s="271"/>
      <c r="X1110" s="271">
        <f t="shared" ca="1" si="175"/>
        <v>0</v>
      </c>
      <c r="Y1110" s="271"/>
      <c r="Z1110" s="271"/>
      <c r="AB1110" s="273" t="str">
        <f t="shared" si="176"/>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74"/>
        <v/>
      </c>
      <c r="T1111" s="222" t="str">
        <f ca="1">IF(B1111="","",IF(ISERROR(MATCH($J1111,SorP!$B$1:$B$6230,0)),"",INDIRECT("'SorP'!$A$"&amp;MATCH($J1111,SorP!$B$1:$B$6230,0))))</f>
        <v/>
      </c>
      <c r="U1111" s="238"/>
      <c r="V1111" s="270" t="e">
        <f>IF(C1111="",NA(),MATCH($B1111&amp;$C1111,'Smelter Look-up'!$J:$J,0))</f>
        <v>#N/A</v>
      </c>
      <c r="W1111" s="271"/>
      <c r="X1111" s="271">
        <f t="shared" ca="1" si="175"/>
        <v>0</v>
      </c>
      <c r="Y1111" s="271"/>
      <c r="Z1111" s="271"/>
      <c r="AB1111" s="273" t="str">
        <f t="shared" si="176"/>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ref="S1112" ca="1" si="177">IF(B1112="","",IF(ISERROR(MATCH($E1112,CL,0)),"Unknown",INDIRECT("'C'!$A$"&amp;MATCH($E1112,CL,0)+1)))</f>
        <v/>
      </c>
      <c r="T1112" s="222" t="str">
        <f ca="1">IF(B1112="","",IF(ISERROR(MATCH($J1112,SorP!$B$1:$B$6230,0)),"",INDIRECT("'SorP'!$A$"&amp;MATCH($J1112,SorP!$B$1:$B$6230,0))))</f>
        <v/>
      </c>
      <c r="U1112" s="238"/>
      <c r="V1112" s="270" t="e">
        <f>IF(C1112="",NA(),MATCH($B1112&amp;$C1112,'Smelter Look-up'!$J:$J,0))</f>
        <v>#N/A</v>
      </c>
      <c r="W1112" s="271"/>
      <c r="X1112" s="271">
        <f t="shared" ref="X1112" ca="1" si="178">IF(AND(C1112="Smelter not listed",OR(LEN(D1112)=0,LEN(E1112)=0)),1,0)</f>
        <v>0</v>
      </c>
      <c r="Y1112" s="271"/>
      <c r="Z1112" s="271"/>
      <c r="AB1112" s="273" t="str">
        <f t="shared" ref="AB1112" si="179">B1112&amp;C1112</f>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ref="S1113:S1144" ca="1" si="180">IF(B1113="","",IF(ISERROR(MATCH($E1113,CL,0)),"Unknown",INDIRECT("'C'!$A$"&amp;MATCH($E1113,CL,0)+1)))</f>
        <v/>
      </c>
      <c r="T1113" s="222" t="str">
        <f ca="1">IF(B1113="","",IF(ISERROR(MATCH($J1113,SorP!$B$1:$B$6230,0)),"",INDIRECT("'SorP'!$A$"&amp;MATCH($J1113,SorP!$B$1:$B$6230,0))))</f>
        <v/>
      </c>
      <c r="U1113" s="238"/>
      <c r="V1113" s="270" t="e">
        <f>IF(C1113="",NA(),MATCH($B1113&amp;$C1113,'Smelter Look-up'!$J:$J,0))</f>
        <v>#N/A</v>
      </c>
      <c r="W1113" s="271"/>
      <c r="X1113" s="271">
        <f t="shared" ref="X1113:X1144" ca="1" si="181">IF(AND(C1113="Smelter not listed",OR(LEN(D1113)=0,LEN(E1113)=0)),1,0)</f>
        <v>0</v>
      </c>
      <c r="Y1113" s="271"/>
      <c r="Z1113" s="271"/>
      <c r="AB1113" s="273" t="str">
        <f t="shared" ref="AB1113:AB1144" si="182">B1113&amp;C1113</f>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80"/>
        <v/>
      </c>
      <c r="T1114" s="222" t="str">
        <f ca="1">IF(B1114="","",IF(ISERROR(MATCH($J1114,SorP!$B$1:$B$6230,0)),"",INDIRECT("'SorP'!$A$"&amp;MATCH($J1114,SorP!$B$1:$B$6230,0))))</f>
        <v/>
      </c>
      <c r="U1114" s="238"/>
      <c r="V1114" s="270" t="e">
        <f>IF(C1114="",NA(),MATCH($B1114&amp;$C1114,'Smelter Look-up'!$J:$J,0))</f>
        <v>#N/A</v>
      </c>
      <c r="W1114" s="271"/>
      <c r="X1114" s="271">
        <f t="shared" ca="1" si="181"/>
        <v>0</v>
      </c>
      <c r="Y1114" s="271"/>
      <c r="Z1114" s="271"/>
      <c r="AB1114" s="273" t="str">
        <f t="shared" si="182"/>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80"/>
        <v/>
      </c>
      <c r="T1115" s="222" t="str">
        <f ca="1">IF(B1115="","",IF(ISERROR(MATCH($J1115,SorP!$B$1:$B$6230,0)),"",INDIRECT("'SorP'!$A$"&amp;MATCH($J1115,SorP!$B$1:$B$6230,0))))</f>
        <v/>
      </c>
      <c r="U1115" s="238"/>
      <c r="V1115" s="270" t="e">
        <f>IF(C1115="",NA(),MATCH($B1115&amp;$C1115,'Smelter Look-up'!$J:$J,0))</f>
        <v>#N/A</v>
      </c>
      <c r="W1115" s="271"/>
      <c r="X1115" s="271">
        <f t="shared" ca="1" si="181"/>
        <v>0</v>
      </c>
      <c r="Y1115" s="271"/>
      <c r="Z1115" s="271"/>
      <c r="AB1115" s="273" t="str">
        <f t="shared" si="182"/>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ca="1" si="180"/>
        <v/>
      </c>
      <c r="T1116" s="222" t="str">
        <f ca="1">IF(B1116="","",IF(ISERROR(MATCH($J1116,SorP!$B$1:$B$6230,0)),"",INDIRECT("'SorP'!$A$"&amp;MATCH($J1116,SorP!$B$1:$B$6230,0))))</f>
        <v/>
      </c>
      <c r="U1116" s="238"/>
      <c r="V1116" s="270" t="e">
        <f>IF(C1116="",NA(),MATCH($B1116&amp;$C1116,'Smelter Look-up'!$J:$J,0))</f>
        <v>#N/A</v>
      </c>
      <c r="W1116" s="271"/>
      <c r="X1116" s="271">
        <f t="shared" ca="1" si="181"/>
        <v>0</v>
      </c>
      <c r="Y1116" s="271"/>
      <c r="Z1116" s="271"/>
      <c r="AB1116" s="273" t="str">
        <f t="shared" si="182"/>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80"/>
        <v/>
      </c>
      <c r="T1117" s="222" t="str">
        <f ca="1">IF(B1117="","",IF(ISERROR(MATCH($J1117,SorP!$B$1:$B$6230,0)),"",INDIRECT("'SorP'!$A$"&amp;MATCH($J1117,SorP!$B$1:$B$6230,0))))</f>
        <v/>
      </c>
      <c r="U1117" s="238"/>
      <c r="V1117" s="270" t="e">
        <f>IF(C1117="",NA(),MATCH($B1117&amp;$C1117,'Smelter Look-up'!$J:$J,0))</f>
        <v>#N/A</v>
      </c>
      <c r="W1117" s="271"/>
      <c r="X1117" s="271">
        <f t="shared" ca="1" si="181"/>
        <v>0</v>
      </c>
      <c r="Y1117" s="271"/>
      <c r="Z1117" s="271"/>
      <c r="AB1117" s="273" t="str">
        <f t="shared" si="182"/>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80"/>
        <v/>
      </c>
      <c r="T1118" s="222" t="str">
        <f ca="1">IF(B1118="","",IF(ISERROR(MATCH($J1118,SorP!$B$1:$B$6230,0)),"",INDIRECT("'SorP'!$A$"&amp;MATCH($J1118,SorP!$B$1:$B$6230,0))))</f>
        <v/>
      </c>
      <c r="U1118" s="238"/>
      <c r="V1118" s="270" t="e">
        <f>IF(C1118="",NA(),MATCH($B1118&amp;$C1118,'Smelter Look-up'!$J:$J,0))</f>
        <v>#N/A</v>
      </c>
      <c r="W1118" s="271"/>
      <c r="X1118" s="271">
        <f t="shared" ca="1" si="181"/>
        <v>0</v>
      </c>
      <c r="Y1118" s="271"/>
      <c r="Z1118" s="271"/>
      <c r="AB1118" s="273" t="str">
        <f t="shared" si="182"/>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80"/>
        <v/>
      </c>
      <c r="T1119" s="222" t="str">
        <f ca="1">IF(B1119="","",IF(ISERROR(MATCH($J1119,SorP!$B$1:$B$6230,0)),"",INDIRECT("'SorP'!$A$"&amp;MATCH($J1119,SorP!$B$1:$B$6230,0))))</f>
        <v/>
      </c>
      <c r="U1119" s="238"/>
      <c r="V1119" s="270" t="e">
        <f>IF(C1119="",NA(),MATCH($B1119&amp;$C1119,'Smelter Look-up'!$J:$J,0))</f>
        <v>#N/A</v>
      </c>
      <c r="W1119" s="271"/>
      <c r="X1119" s="271">
        <f t="shared" ca="1" si="181"/>
        <v>0</v>
      </c>
      <c r="Y1119" s="271"/>
      <c r="Z1119" s="271"/>
      <c r="AB1119" s="273" t="str">
        <f t="shared" si="182"/>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80"/>
        <v/>
      </c>
      <c r="T1120" s="222" t="str">
        <f ca="1">IF(B1120="","",IF(ISERROR(MATCH($J1120,SorP!$B$1:$B$6230,0)),"",INDIRECT("'SorP'!$A$"&amp;MATCH($J1120,SorP!$B$1:$B$6230,0))))</f>
        <v/>
      </c>
      <c r="U1120" s="238"/>
      <c r="V1120" s="270" t="e">
        <f>IF(C1120="",NA(),MATCH($B1120&amp;$C1120,'Smelter Look-up'!$J:$J,0))</f>
        <v>#N/A</v>
      </c>
      <c r="W1120" s="271"/>
      <c r="X1120" s="271">
        <f t="shared" ca="1" si="181"/>
        <v>0</v>
      </c>
      <c r="Y1120" s="271"/>
      <c r="Z1120" s="271"/>
      <c r="AB1120" s="273" t="str">
        <f t="shared" si="182"/>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80"/>
        <v/>
      </c>
      <c r="T1121" s="222" t="str">
        <f ca="1">IF(B1121="","",IF(ISERROR(MATCH($J1121,SorP!$B$1:$B$6230,0)),"",INDIRECT("'SorP'!$A$"&amp;MATCH($J1121,SorP!$B$1:$B$6230,0))))</f>
        <v/>
      </c>
      <c r="U1121" s="238"/>
      <c r="V1121" s="270" t="e">
        <f>IF(C1121="",NA(),MATCH($B1121&amp;$C1121,'Smelter Look-up'!$J:$J,0))</f>
        <v>#N/A</v>
      </c>
      <c r="W1121" s="271"/>
      <c r="X1121" s="271">
        <f t="shared" ca="1" si="181"/>
        <v>0</v>
      </c>
      <c r="Y1121" s="271"/>
      <c r="Z1121" s="271"/>
      <c r="AB1121" s="273" t="str">
        <f t="shared" si="182"/>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80"/>
        <v/>
      </c>
      <c r="T1122" s="222" t="str">
        <f ca="1">IF(B1122="","",IF(ISERROR(MATCH($J1122,SorP!$B$1:$B$6230,0)),"",INDIRECT("'SorP'!$A$"&amp;MATCH($J1122,SorP!$B$1:$B$6230,0))))</f>
        <v/>
      </c>
      <c r="U1122" s="238"/>
      <c r="V1122" s="270" t="e">
        <f>IF(C1122="",NA(),MATCH($B1122&amp;$C1122,'Smelter Look-up'!$J:$J,0))</f>
        <v>#N/A</v>
      </c>
      <c r="W1122" s="271"/>
      <c r="X1122" s="271">
        <f t="shared" ca="1" si="181"/>
        <v>0</v>
      </c>
      <c r="Y1122" s="271"/>
      <c r="Z1122" s="271"/>
      <c r="AB1122" s="273" t="str">
        <f t="shared" si="182"/>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80"/>
        <v/>
      </c>
      <c r="T1123" s="222" t="str">
        <f ca="1">IF(B1123="","",IF(ISERROR(MATCH($J1123,SorP!$B$1:$B$6230,0)),"",INDIRECT("'SorP'!$A$"&amp;MATCH($J1123,SorP!$B$1:$B$6230,0))))</f>
        <v/>
      </c>
      <c r="U1123" s="238"/>
      <c r="V1123" s="270" t="e">
        <f>IF(C1123="",NA(),MATCH($B1123&amp;$C1123,'Smelter Look-up'!$J:$J,0))</f>
        <v>#N/A</v>
      </c>
      <c r="W1123" s="271"/>
      <c r="X1123" s="271">
        <f t="shared" ca="1" si="181"/>
        <v>0</v>
      </c>
      <c r="Y1123" s="271"/>
      <c r="Z1123" s="271"/>
      <c r="AB1123" s="273" t="str">
        <f t="shared" si="182"/>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80"/>
        <v/>
      </c>
      <c r="T1124" s="222" t="str">
        <f ca="1">IF(B1124="","",IF(ISERROR(MATCH($J1124,SorP!$B$1:$B$6230,0)),"",INDIRECT("'SorP'!$A$"&amp;MATCH($J1124,SorP!$B$1:$B$6230,0))))</f>
        <v/>
      </c>
      <c r="U1124" s="238"/>
      <c r="V1124" s="270" t="e">
        <f>IF(C1124="",NA(),MATCH($B1124&amp;$C1124,'Smelter Look-up'!$J:$J,0))</f>
        <v>#N/A</v>
      </c>
      <c r="W1124" s="271"/>
      <c r="X1124" s="271">
        <f t="shared" ca="1" si="181"/>
        <v>0</v>
      </c>
      <c r="Y1124" s="271"/>
      <c r="Z1124" s="271"/>
      <c r="AB1124" s="273" t="str">
        <f t="shared" si="182"/>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80"/>
        <v/>
      </c>
      <c r="T1125" s="222" t="str">
        <f ca="1">IF(B1125="","",IF(ISERROR(MATCH($J1125,SorP!$B$1:$B$6230,0)),"",INDIRECT("'SorP'!$A$"&amp;MATCH($J1125,SorP!$B$1:$B$6230,0))))</f>
        <v/>
      </c>
      <c r="U1125" s="238"/>
      <c r="V1125" s="270" t="e">
        <f>IF(C1125="",NA(),MATCH($B1125&amp;$C1125,'Smelter Look-up'!$J:$J,0))</f>
        <v>#N/A</v>
      </c>
      <c r="W1125" s="271"/>
      <c r="X1125" s="271">
        <f t="shared" ca="1" si="181"/>
        <v>0</v>
      </c>
      <c r="Y1125" s="271"/>
      <c r="Z1125" s="271"/>
      <c r="AB1125" s="273" t="str">
        <f t="shared" si="182"/>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80"/>
        <v/>
      </c>
      <c r="T1126" s="222" t="str">
        <f ca="1">IF(B1126="","",IF(ISERROR(MATCH($J1126,SorP!$B$1:$B$6230,0)),"",INDIRECT("'SorP'!$A$"&amp;MATCH($J1126,SorP!$B$1:$B$6230,0))))</f>
        <v/>
      </c>
      <c r="U1126" s="238"/>
      <c r="V1126" s="270" t="e">
        <f>IF(C1126="",NA(),MATCH($B1126&amp;$C1126,'Smelter Look-up'!$J:$J,0))</f>
        <v>#N/A</v>
      </c>
      <c r="W1126" s="271"/>
      <c r="X1126" s="271">
        <f t="shared" ca="1" si="181"/>
        <v>0</v>
      </c>
      <c r="Y1126" s="271"/>
      <c r="Z1126" s="271"/>
      <c r="AB1126" s="273" t="str">
        <f t="shared" si="182"/>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80"/>
        <v/>
      </c>
      <c r="T1127" s="222" t="str">
        <f ca="1">IF(B1127="","",IF(ISERROR(MATCH($J1127,SorP!$B$1:$B$6230,0)),"",INDIRECT("'SorP'!$A$"&amp;MATCH($J1127,SorP!$B$1:$B$6230,0))))</f>
        <v/>
      </c>
      <c r="U1127" s="238"/>
      <c r="V1127" s="270" t="e">
        <f>IF(C1127="",NA(),MATCH($B1127&amp;$C1127,'Smelter Look-up'!$J:$J,0))</f>
        <v>#N/A</v>
      </c>
      <c r="W1127" s="271"/>
      <c r="X1127" s="271">
        <f t="shared" ca="1" si="181"/>
        <v>0</v>
      </c>
      <c r="Y1127" s="271"/>
      <c r="Z1127" s="271"/>
      <c r="AB1127" s="273" t="str">
        <f t="shared" si="182"/>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80"/>
        <v/>
      </c>
      <c r="T1128" s="222" t="str">
        <f ca="1">IF(B1128="","",IF(ISERROR(MATCH($J1128,SorP!$B$1:$B$6230,0)),"",INDIRECT("'SorP'!$A$"&amp;MATCH($J1128,SorP!$B$1:$B$6230,0))))</f>
        <v/>
      </c>
      <c r="U1128" s="238"/>
      <c r="V1128" s="270" t="e">
        <f>IF(C1128="",NA(),MATCH($B1128&amp;$C1128,'Smelter Look-up'!$J:$J,0))</f>
        <v>#N/A</v>
      </c>
      <c r="W1128" s="271"/>
      <c r="X1128" s="271">
        <f t="shared" ca="1" si="181"/>
        <v>0</v>
      </c>
      <c r="Y1128" s="271"/>
      <c r="Z1128" s="271"/>
      <c r="AB1128" s="273" t="str">
        <f t="shared" si="182"/>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80"/>
        <v/>
      </c>
      <c r="T1129" s="222" t="str">
        <f ca="1">IF(B1129="","",IF(ISERROR(MATCH($J1129,SorP!$B$1:$B$6230,0)),"",INDIRECT("'SorP'!$A$"&amp;MATCH($J1129,SorP!$B$1:$B$6230,0))))</f>
        <v/>
      </c>
      <c r="U1129" s="238"/>
      <c r="V1129" s="270" t="e">
        <f>IF(C1129="",NA(),MATCH($B1129&amp;$C1129,'Smelter Look-up'!$J:$J,0))</f>
        <v>#N/A</v>
      </c>
      <c r="W1129" s="271"/>
      <c r="X1129" s="271">
        <f t="shared" ca="1" si="181"/>
        <v>0</v>
      </c>
      <c r="Y1129" s="271"/>
      <c r="Z1129" s="271"/>
      <c r="AB1129" s="273" t="str">
        <f t="shared" si="182"/>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80"/>
        <v/>
      </c>
      <c r="T1130" s="222" t="str">
        <f ca="1">IF(B1130="","",IF(ISERROR(MATCH($J1130,SorP!$B$1:$B$6230,0)),"",INDIRECT("'SorP'!$A$"&amp;MATCH($J1130,SorP!$B$1:$B$6230,0))))</f>
        <v/>
      </c>
      <c r="U1130" s="238"/>
      <c r="V1130" s="270" t="e">
        <f>IF(C1130="",NA(),MATCH($B1130&amp;$C1130,'Smelter Look-up'!$J:$J,0))</f>
        <v>#N/A</v>
      </c>
      <c r="W1130" s="271"/>
      <c r="X1130" s="271">
        <f t="shared" ca="1" si="181"/>
        <v>0</v>
      </c>
      <c r="Y1130" s="271"/>
      <c r="Z1130" s="271"/>
      <c r="AB1130" s="273" t="str">
        <f t="shared" si="182"/>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80"/>
        <v/>
      </c>
      <c r="T1131" s="222" t="str">
        <f ca="1">IF(B1131="","",IF(ISERROR(MATCH($J1131,SorP!$B$1:$B$6230,0)),"",INDIRECT("'SorP'!$A$"&amp;MATCH($J1131,SorP!$B$1:$B$6230,0))))</f>
        <v/>
      </c>
      <c r="U1131" s="238"/>
      <c r="V1131" s="270" t="e">
        <f>IF(C1131="",NA(),MATCH($B1131&amp;$C1131,'Smelter Look-up'!$J:$J,0))</f>
        <v>#N/A</v>
      </c>
      <c r="W1131" s="271"/>
      <c r="X1131" s="271">
        <f t="shared" ca="1" si="181"/>
        <v>0</v>
      </c>
      <c r="Y1131" s="271"/>
      <c r="Z1131" s="271"/>
      <c r="AB1131" s="273" t="str">
        <f t="shared" si="182"/>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80"/>
        <v/>
      </c>
      <c r="T1132" s="222" t="str">
        <f ca="1">IF(B1132="","",IF(ISERROR(MATCH($J1132,SorP!$B$1:$B$6230,0)),"",INDIRECT("'SorP'!$A$"&amp;MATCH($J1132,SorP!$B$1:$B$6230,0))))</f>
        <v/>
      </c>
      <c r="U1132" s="238"/>
      <c r="V1132" s="270" t="e">
        <f>IF(C1132="",NA(),MATCH($B1132&amp;$C1132,'Smelter Look-up'!$J:$J,0))</f>
        <v>#N/A</v>
      </c>
      <c r="W1132" s="271"/>
      <c r="X1132" s="271">
        <f t="shared" ca="1" si="181"/>
        <v>0</v>
      </c>
      <c r="Y1132" s="271"/>
      <c r="Z1132" s="271"/>
      <c r="AB1132" s="273" t="str">
        <f t="shared" si="182"/>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80"/>
        <v/>
      </c>
      <c r="T1133" s="222" t="str">
        <f ca="1">IF(B1133="","",IF(ISERROR(MATCH($J1133,SorP!$B$1:$B$6230,0)),"",INDIRECT("'SorP'!$A$"&amp;MATCH($J1133,SorP!$B$1:$B$6230,0))))</f>
        <v/>
      </c>
      <c r="U1133" s="238"/>
      <c r="V1133" s="270" t="e">
        <f>IF(C1133="",NA(),MATCH($B1133&amp;$C1133,'Smelter Look-up'!$J:$J,0))</f>
        <v>#N/A</v>
      </c>
      <c r="W1133" s="271"/>
      <c r="X1133" s="271">
        <f t="shared" ca="1" si="181"/>
        <v>0</v>
      </c>
      <c r="Y1133" s="271"/>
      <c r="Z1133" s="271"/>
      <c r="AB1133" s="273" t="str">
        <f t="shared" si="182"/>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80"/>
        <v/>
      </c>
      <c r="T1134" s="222" t="str">
        <f ca="1">IF(B1134="","",IF(ISERROR(MATCH($J1134,SorP!$B$1:$B$6230,0)),"",INDIRECT("'SorP'!$A$"&amp;MATCH($J1134,SorP!$B$1:$B$6230,0))))</f>
        <v/>
      </c>
      <c r="U1134" s="238"/>
      <c r="V1134" s="270" t="e">
        <f>IF(C1134="",NA(),MATCH($B1134&amp;$C1134,'Smelter Look-up'!$J:$J,0))</f>
        <v>#N/A</v>
      </c>
      <c r="W1134" s="271"/>
      <c r="X1134" s="271">
        <f t="shared" ca="1" si="181"/>
        <v>0</v>
      </c>
      <c r="Y1134" s="271"/>
      <c r="Z1134" s="271"/>
      <c r="AB1134" s="273" t="str">
        <f t="shared" si="182"/>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80"/>
        <v/>
      </c>
      <c r="T1135" s="222" t="str">
        <f ca="1">IF(B1135="","",IF(ISERROR(MATCH($J1135,SorP!$B$1:$B$6230,0)),"",INDIRECT("'SorP'!$A$"&amp;MATCH($J1135,SorP!$B$1:$B$6230,0))))</f>
        <v/>
      </c>
      <c r="U1135" s="238"/>
      <c r="V1135" s="270" t="e">
        <f>IF(C1135="",NA(),MATCH($B1135&amp;$C1135,'Smelter Look-up'!$J:$J,0))</f>
        <v>#N/A</v>
      </c>
      <c r="W1135" s="271"/>
      <c r="X1135" s="271">
        <f t="shared" ca="1" si="181"/>
        <v>0</v>
      </c>
      <c r="Y1135" s="271"/>
      <c r="Z1135" s="271"/>
      <c r="AB1135" s="273" t="str">
        <f t="shared" si="182"/>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80"/>
        <v/>
      </c>
      <c r="T1136" s="222" t="str">
        <f ca="1">IF(B1136="","",IF(ISERROR(MATCH($J1136,SorP!$B$1:$B$6230,0)),"",INDIRECT("'SorP'!$A$"&amp;MATCH($J1136,SorP!$B$1:$B$6230,0))))</f>
        <v/>
      </c>
      <c r="U1136" s="238"/>
      <c r="V1136" s="270" t="e">
        <f>IF(C1136="",NA(),MATCH($B1136&amp;$C1136,'Smelter Look-up'!$J:$J,0))</f>
        <v>#N/A</v>
      </c>
      <c r="W1136" s="271"/>
      <c r="X1136" s="271">
        <f t="shared" ca="1" si="181"/>
        <v>0</v>
      </c>
      <c r="Y1136" s="271"/>
      <c r="Z1136" s="271"/>
      <c r="AB1136" s="273" t="str">
        <f t="shared" si="182"/>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80"/>
        <v/>
      </c>
      <c r="T1137" s="222" t="str">
        <f ca="1">IF(B1137="","",IF(ISERROR(MATCH($J1137,SorP!$B$1:$B$6230,0)),"",INDIRECT("'SorP'!$A$"&amp;MATCH($J1137,SorP!$B$1:$B$6230,0))))</f>
        <v/>
      </c>
      <c r="U1137" s="238"/>
      <c r="V1137" s="270" t="e">
        <f>IF(C1137="",NA(),MATCH($B1137&amp;$C1137,'Smelter Look-up'!$J:$J,0))</f>
        <v>#N/A</v>
      </c>
      <c r="W1137" s="271"/>
      <c r="X1137" s="271">
        <f t="shared" ca="1" si="181"/>
        <v>0</v>
      </c>
      <c r="Y1137" s="271"/>
      <c r="Z1137" s="271"/>
      <c r="AB1137" s="273" t="str">
        <f t="shared" si="182"/>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80"/>
        <v/>
      </c>
      <c r="T1138" s="222" t="str">
        <f ca="1">IF(B1138="","",IF(ISERROR(MATCH($J1138,SorP!$B$1:$B$6230,0)),"",INDIRECT("'SorP'!$A$"&amp;MATCH($J1138,SorP!$B$1:$B$6230,0))))</f>
        <v/>
      </c>
      <c r="U1138" s="238"/>
      <c r="V1138" s="270" t="e">
        <f>IF(C1138="",NA(),MATCH($B1138&amp;$C1138,'Smelter Look-up'!$J:$J,0))</f>
        <v>#N/A</v>
      </c>
      <c r="W1138" s="271"/>
      <c r="X1138" s="271">
        <f t="shared" ca="1" si="181"/>
        <v>0</v>
      </c>
      <c r="Y1138" s="271"/>
      <c r="Z1138" s="271"/>
      <c r="AB1138" s="273" t="str">
        <f t="shared" si="182"/>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80"/>
        <v/>
      </c>
      <c r="T1139" s="222" t="str">
        <f ca="1">IF(B1139="","",IF(ISERROR(MATCH($J1139,SorP!$B$1:$B$6230,0)),"",INDIRECT("'SorP'!$A$"&amp;MATCH($J1139,SorP!$B$1:$B$6230,0))))</f>
        <v/>
      </c>
      <c r="U1139" s="238"/>
      <c r="V1139" s="270" t="e">
        <f>IF(C1139="",NA(),MATCH($B1139&amp;$C1139,'Smelter Look-up'!$J:$J,0))</f>
        <v>#N/A</v>
      </c>
      <c r="W1139" s="271"/>
      <c r="X1139" s="271">
        <f t="shared" ca="1" si="181"/>
        <v>0</v>
      </c>
      <c r="Y1139" s="271"/>
      <c r="Z1139" s="271"/>
      <c r="AB1139" s="273" t="str">
        <f t="shared" si="182"/>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80"/>
        <v/>
      </c>
      <c r="T1140" s="222" t="str">
        <f ca="1">IF(B1140="","",IF(ISERROR(MATCH($J1140,SorP!$B$1:$B$6230,0)),"",INDIRECT("'SorP'!$A$"&amp;MATCH($J1140,SorP!$B$1:$B$6230,0))))</f>
        <v/>
      </c>
      <c r="U1140" s="238"/>
      <c r="V1140" s="270" t="e">
        <f>IF(C1140="",NA(),MATCH($B1140&amp;$C1140,'Smelter Look-up'!$J:$J,0))</f>
        <v>#N/A</v>
      </c>
      <c r="W1140" s="271"/>
      <c r="X1140" s="271">
        <f t="shared" ca="1" si="181"/>
        <v>0</v>
      </c>
      <c r="Y1140" s="271"/>
      <c r="Z1140" s="271"/>
      <c r="AB1140" s="273" t="str">
        <f t="shared" si="182"/>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80"/>
        <v/>
      </c>
      <c r="T1141" s="222" t="str">
        <f ca="1">IF(B1141="","",IF(ISERROR(MATCH($J1141,SorP!$B$1:$B$6230,0)),"",INDIRECT("'SorP'!$A$"&amp;MATCH($J1141,SorP!$B$1:$B$6230,0))))</f>
        <v/>
      </c>
      <c r="U1141" s="238"/>
      <c r="V1141" s="270" t="e">
        <f>IF(C1141="",NA(),MATCH($B1141&amp;$C1141,'Smelter Look-up'!$J:$J,0))</f>
        <v>#N/A</v>
      </c>
      <c r="W1141" s="271"/>
      <c r="X1141" s="271">
        <f t="shared" ca="1" si="181"/>
        <v>0</v>
      </c>
      <c r="Y1141" s="271"/>
      <c r="Z1141" s="271"/>
      <c r="AB1141" s="273" t="str">
        <f t="shared" si="182"/>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80"/>
        <v/>
      </c>
      <c r="T1142" s="222" t="str">
        <f ca="1">IF(B1142="","",IF(ISERROR(MATCH($J1142,SorP!$B$1:$B$6230,0)),"",INDIRECT("'SorP'!$A$"&amp;MATCH($J1142,SorP!$B$1:$B$6230,0))))</f>
        <v/>
      </c>
      <c r="U1142" s="238"/>
      <c r="V1142" s="270" t="e">
        <f>IF(C1142="",NA(),MATCH($B1142&amp;$C1142,'Smelter Look-up'!$J:$J,0))</f>
        <v>#N/A</v>
      </c>
      <c r="W1142" s="271"/>
      <c r="X1142" s="271">
        <f t="shared" ca="1" si="181"/>
        <v>0</v>
      </c>
      <c r="Y1142" s="271"/>
      <c r="Z1142" s="271"/>
      <c r="AB1142" s="273" t="str">
        <f t="shared" si="182"/>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80"/>
        <v/>
      </c>
      <c r="T1143" s="222" t="str">
        <f ca="1">IF(B1143="","",IF(ISERROR(MATCH($J1143,SorP!$B$1:$B$6230,0)),"",INDIRECT("'SorP'!$A$"&amp;MATCH($J1143,SorP!$B$1:$B$6230,0))))</f>
        <v/>
      </c>
      <c r="U1143" s="238"/>
      <c r="V1143" s="270" t="e">
        <f>IF(C1143="",NA(),MATCH($B1143&amp;$C1143,'Smelter Look-up'!$J:$J,0))</f>
        <v>#N/A</v>
      </c>
      <c r="W1143" s="271"/>
      <c r="X1143" s="271">
        <f t="shared" ca="1" si="181"/>
        <v>0</v>
      </c>
      <c r="Y1143" s="271"/>
      <c r="Z1143" s="271"/>
      <c r="AB1143" s="273" t="str">
        <f t="shared" si="182"/>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80"/>
        <v/>
      </c>
      <c r="T1144" s="222" t="str">
        <f ca="1">IF(B1144="","",IF(ISERROR(MATCH($J1144,SorP!$B$1:$B$6230,0)),"",INDIRECT("'SorP'!$A$"&amp;MATCH($J1144,SorP!$B$1:$B$6230,0))))</f>
        <v/>
      </c>
      <c r="U1144" s="238"/>
      <c r="V1144" s="270" t="e">
        <f>IF(C1144="",NA(),MATCH($B1144&amp;$C1144,'Smelter Look-up'!$J:$J,0))</f>
        <v>#N/A</v>
      </c>
      <c r="W1144" s="271"/>
      <c r="X1144" s="271">
        <f t="shared" ca="1" si="181"/>
        <v>0</v>
      </c>
      <c r="Y1144" s="271"/>
      <c r="Z1144" s="271"/>
      <c r="AB1144" s="273" t="str">
        <f t="shared" si="182"/>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ref="S1145:S1175" ca="1" si="183">IF(B1145="","",IF(ISERROR(MATCH($E1145,CL,0)),"Unknown",INDIRECT("'C'!$A$"&amp;MATCH($E1145,CL,0)+1)))</f>
        <v/>
      </c>
      <c r="T1145" s="222" t="str">
        <f ca="1">IF(B1145="","",IF(ISERROR(MATCH($J1145,SorP!$B$1:$B$6230,0)),"",INDIRECT("'SorP'!$A$"&amp;MATCH($J1145,SorP!$B$1:$B$6230,0))))</f>
        <v/>
      </c>
      <c r="U1145" s="238"/>
      <c r="V1145" s="270" t="e">
        <f>IF(C1145="",NA(),MATCH($B1145&amp;$C1145,'Smelter Look-up'!$J:$J,0))</f>
        <v>#N/A</v>
      </c>
      <c r="W1145" s="271"/>
      <c r="X1145" s="271">
        <f t="shared" ref="X1145:X1175" ca="1" si="184">IF(AND(C1145="Smelter not listed",OR(LEN(D1145)=0,LEN(E1145)=0)),1,0)</f>
        <v>0</v>
      </c>
      <c r="Y1145" s="271"/>
      <c r="Z1145" s="271"/>
      <c r="AB1145" s="273" t="str">
        <f t="shared" ref="AB1145:AB1175" si="185">B1145&amp;C1145</f>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83"/>
        <v/>
      </c>
      <c r="T1146" s="222" t="str">
        <f ca="1">IF(B1146="","",IF(ISERROR(MATCH($J1146,SorP!$B$1:$B$6230,0)),"",INDIRECT("'SorP'!$A$"&amp;MATCH($J1146,SorP!$B$1:$B$6230,0))))</f>
        <v/>
      </c>
      <c r="U1146" s="238"/>
      <c r="V1146" s="270" t="e">
        <f>IF(C1146="",NA(),MATCH($B1146&amp;$C1146,'Smelter Look-up'!$J:$J,0))</f>
        <v>#N/A</v>
      </c>
      <c r="W1146" s="271"/>
      <c r="X1146" s="271">
        <f t="shared" ca="1" si="184"/>
        <v>0</v>
      </c>
      <c r="Y1146" s="271"/>
      <c r="Z1146" s="271"/>
      <c r="AB1146" s="273" t="str">
        <f t="shared" si="185"/>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ca="1" si="183"/>
        <v/>
      </c>
      <c r="T1147" s="222" t="str">
        <f ca="1">IF(B1147="","",IF(ISERROR(MATCH($J1147,SorP!$B$1:$B$6230,0)),"",INDIRECT("'SorP'!$A$"&amp;MATCH($J1147,SorP!$B$1:$B$6230,0))))</f>
        <v/>
      </c>
      <c r="U1147" s="238"/>
      <c r="V1147" s="270" t="e">
        <f>IF(C1147="",NA(),MATCH($B1147&amp;$C1147,'Smelter Look-up'!$J:$J,0))</f>
        <v>#N/A</v>
      </c>
      <c r="W1147" s="271"/>
      <c r="X1147" s="271">
        <f t="shared" ca="1" si="184"/>
        <v>0</v>
      </c>
      <c r="Y1147" s="271"/>
      <c r="Z1147" s="271"/>
      <c r="AB1147" s="273" t="str">
        <f t="shared" si="185"/>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ca="1" si="183"/>
        <v/>
      </c>
      <c r="T1148" s="222" t="str">
        <f ca="1">IF(B1148="","",IF(ISERROR(MATCH($J1148,SorP!$B$1:$B$6230,0)),"",INDIRECT("'SorP'!$A$"&amp;MATCH($J1148,SorP!$B$1:$B$6230,0))))</f>
        <v/>
      </c>
      <c r="U1148" s="238"/>
      <c r="V1148" s="270" t="e">
        <f>IF(C1148="",NA(),MATCH($B1148&amp;$C1148,'Smelter Look-up'!$J:$J,0))</f>
        <v>#N/A</v>
      </c>
      <c r="W1148" s="271"/>
      <c r="X1148" s="271">
        <f t="shared" ca="1" si="184"/>
        <v>0</v>
      </c>
      <c r="Y1148" s="271"/>
      <c r="Z1148" s="271"/>
      <c r="AB1148" s="273" t="str">
        <f t="shared" si="185"/>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83"/>
        <v/>
      </c>
      <c r="T1149" s="222" t="str">
        <f ca="1">IF(B1149="","",IF(ISERROR(MATCH($J1149,SorP!$B$1:$B$6230,0)),"",INDIRECT("'SorP'!$A$"&amp;MATCH($J1149,SorP!$B$1:$B$6230,0))))</f>
        <v/>
      </c>
      <c r="U1149" s="238"/>
      <c r="V1149" s="270" t="e">
        <f>IF(C1149="",NA(),MATCH($B1149&amp;$C1149,'Smelter Look-up'!$J:$J,0))</f>
        <v>#N/A</v>
      </c>
      <c r="W1149" s="271"/>
      <c r="X1149" s="271">
        <f t="shared" ca="1" si="184"/>
        <v>0</v>
      </c>
      <c r="Y1149" s="271"/>
      <c r="Z1149" s="271"/>
      <c r="AB1149" s="273" t="str">
        <f t="shared" si="185"/>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83"/>
        <v/>
      </c>
      <c r="T1150" s="222" t="str">
        <f ca="1">IF(B1150="","",IF(ISERROR(MATCH($J1150,SorP!$B$1:$B$6230,0)),"",INDIRECT("'SorP'!$A$"&amp;MATCH($J1150,SorP!$B$1:$B$6230,0))))</f>
        <v/>
      </c>
      <c r="U1150" s="238"/>
      <c r="V1150" s="270" t="e">
        <f>IF(C1150="",NA(),MATCH($B1150&amp;$C1150,'Smelter Look-up'!$J:$J,0))</f>
        <v>#N/A</v>
      </c>
      <c r="W1150" s="271"/>
      <c r="X1150" s="271">
        <f t="shared" ca="1" si="184"/>
        <v>0</v>
      </c>
      <c r="Y1150" s="271"/>
      <c r="Z1150" s="271"/>
      <c r="AB1150" s="273" t="str">
        <f t="shared" si="185"/>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83"/>
        <v/>
      </c>
      <c r="T1151" s="222" t="str">
        <f ca="1">IF(B1151="","",IF(ISERROR(MATCH($J1151,SorP!$B$1:$B$6230,0)),"",INDIRECT("'SorP'!$A$"&amp;MATCH($J1151,SorP!$B$1:$B$6230,0))))</f>
        <v/>
      </c>
      <c r="U1151" s="238"/>
      <c r="V1151" s="270" t="e">
        <f>IF(C1151="",NA(),MATCH($B1151&amp;$C1151,'Smelter Look-up'!$J:$J,0))</f>
        <v>#N/A</v>
      </c>
      <c r="W1151" s="271"/>
      <c r="X1151" s="271">
        <f t="shared" ca="1" si="184"/>
        <v>0</v>
      </c>
      <c r="Y1151" s="271"/>
      <c r="Z1151" s="271"/>
      <c r="AB1151" s="273" t="str">
        <f t="shared" si="185"/>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83"/>
        <v/>
      </c>
      <c r="T1152" s="222" t="str">
        <f ca="1">IF(B1152="","",IF(ISERROR(MATCH($J1152,SorP!$B$1:$B$6230,0)),"",INDIRECT("'SorP'!$A$"&amp;MATCH($J1152,SorP!$B$1:$B$6230,0))))</f>
        <v/>
      </c>
      <c r="U1152" s="238"/>
      <c r="V1152" s="270" t="e">
        <f>IF(C1152="",NA(),MATCH($B1152&amp;$C1152,'Smelter Look-up'!$J:$J,0))</f>
        <v>#N/A</v>
      </c>
      <c r="W1152" s="271"/>
      <c r="X1152" s="271">
        <f t="shared" ca="1" si="184"/>
        <v>0</v>
      </c>
      <c r="Y1152" s="271"/>
      <c r="Z1152" s="271"/>
      <c r="AB1152" s="273" t="str">
        <f t="shared" si="185"/>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83"/>
        <v/>
      </c>
      <c r="T1153" s="222" t="str">
        <f ca="1">IF(B1153="","",IF(ISERROR(MATCH($J1153,SorP!$B$1:$B$6230,0)),"",INDIRECT("'SorP'!$A$"&amp;MATCH($J1153,SorP!$B$1:$B$6230,0))))</f>
        <v/>
      </c>
      <c r="U1153" s="238"/>
      <c r="V1153" s="270" t="e">
        <f>IF(C1153="",NA(),MATCH($B1153&amp;$C1153,'Smelter Look-up'!$J:$J,0))</f>
        <v>#N/A</v>
      </c>
      <c r="W1153" s="271"/>
      <c r="X1153" s="271">
        <f t="shared" ca="1" si="184"/>
        <v>0</v>
      </c>
      <c r="Y1153" s="271"/>
      <c r="Z1153" s="271"/>
      <c r="AB1153" s="273" t="str">
        <f t="shared" si="185"/>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83"/>
        <v/>
      </c>
      <c r="T1154" s="222" t="str">
        <f ca="1">IF(B1154="","",IF(ISERROR(MATCH($J1154,SorP!$B$1:$B$6230,0)),"",INDIRECT("'SorP'!$A$"&amp;MATCH($J1154,SorP!$B$1:$B$6230,0))))</f>
        <v/>
      </c>
      <c r="U1154" s="238"/>
      <c r="V1154" s="270" t="e">
        <f>IF(C1154="",NA(),MATCH($B1154&amp;$C1154,'Smelter Look-up'!$J:$J,0))</f>
        <v>#N/A</v>
      </c>
      <c r="W1154" s="271"/>
      <c r="X1154" s="271">
        <f t="shared" ca="1" si="184"/>
        <v>0</v>
      </c>
      <c r="Y1154" s="271"/>
      <c r="Z1154" s="271"/>
      <c r="AB1154" s="273" t="str">
        <f t="shared" si="185"/>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83"/>
        <v/>
      </c>
      <c r="T1155" s="222" t="str">
        <f ca="1">IF(B1155="","",IF(ISERROR(MATCH($J1155,SorP!$B$1:$B$6230,0)),"",INDIRECT("'SorP'!$A$"&amp;MATCH($J1155,SorP!$B$1:$B$6230,0))))</f>
        <v/>
      </c>
      <c r="U1155" s="238"/>
      <c r="V1155" s="270" t="e">
        <f>IF(C1155="",NA(),MATCH($B1155&amp;$C1155,'Smelter Look-up'!$J:$J,0))</f>
        <v>#N/A</v>
      </c>
      <c r="W1155" s="271"/>
      <c r="X1155" s="271">
        <f t="shared" ca="1" si="184"/>
        <v>0</v>
      </c>
      <c r="Y1155" s="271"/>
      <c r="Z1155" s="271"/>
      <c r="AB1155" s="273" t="str">
        <f t="shared" si="185"/>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83"/>
        <v/>
      </c>
      <c r="T1156" s="222" t="str">
        <f ca="1">IF(B1156="","",IF(ISERROR(MATCH($J1156,SorP!$B$1:$B$6230,0)),"",INDIRECT("'SorP'!$A$"&amp;MATCH($J1156,SorP!$B$1:$B$6230,0))))</f>
        <v/>
      </c>
      <c r="U1156" s="238"/>
      <c r="V1156" s="270" t="e">
        <f>IF(C1156="",NA(),MATCH($B1156&amp;$C1156,'Smelter Look-up'!$J:$J,0))</f>
        <v>#N/A</v>
      </c>
      <c r="W1156" s="271"/>
      <c r="X1156" s="271">
        <f t="shared" ca="1" si="184"/>
        <v>0</v>
      </c>
      <c r="Y1156" s="271"/>
      <c r="Z1156" s="271"/>
      <c r="AB1156" s="273" t="str">
        <f t="shared" si="185"/>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83"/>
        <v/>
      </c>
      <c r="T1157" s="222" t="str">
        <f ca="1">IF(B1157="","",IF(ISERROR(MATCH($J1157,SorP!$B$1:$B$6230,0)),"",INDIRECT("'SorP'!$A$"&amp;MATCH($J1157,SorP!$B$1:$B$6230,0))))</f>
        <v/>
      </c>
      <c r="U1157" s="238"/>
      <c r="V1157" s="270" t="e">
        <f>IF(C1157="",NA(),MATCH($B1157&amp;$C1157,'Smelter Look-up'!$J:$J,0))</f>
        <v>#N/A</v>
      </c>
      <c r="W1157" s="271"/>
      <c r="X1157" s="271">
        <f t="shared" ca="1" si="184"/>
        <v>0</v>
      </c>
      <c r="Y1157" s="271"/>
      <c r="Z1157" s="271"/>
      <c r="AB1157" s="273" t="str">
        <f t="shared" si="185"/>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83"/>
        <v/>
      </c>
      <c r="T1158" s="222" t="str">
        <f ca="1">IF(B1158="","",IF(ISERROR(MATCH($J1158,SorP!$B$1:$B$6230,0)),"",INDIRECT("'SorP'!$A$"&amp;MATCH($J1158,SorP!$B$1:$B$6230,0))))</f>
        <v/>
      </c>
      <c r="U1158" s="238"/>
      <c r="V1158" s="270" t="e">
        <f>IF(C1158="",NA(),MATCH($B1158&amp;$C1158,'Smelter Look-up'!$J:$J,0))</f>
        <v>#N/A</v>
      </c>
      <c r="W1158" s="271"/>
      <c r="X1158" s="271">
        <f t="shared" ca="1" si="184"/>
        <v>0</v>
      </c>
      <c r="Y1158" s="271"/>
      <c r="Z1158" s="271"/>
      <c r="AB1158" s="273" t="str">
        <f t="shared" si="185"/>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83"/>
        <v/>
      </c>
      <c r="T1159" s="222" t="str">
        <f ca="1">IF(B1159="","",IF(ISERROR(MATCH($J1159,SorP!$B$1:$B$6230,0)),"",INDIRECT("'SorP'!$A$"&amp;MATCH($J1159,SorP!$B$1:$B$6230,0))))</f>
        <v/>
      </c>
      <c r="U1159" s="238"/>
      <c r="V1159" s="270" t="e">
        <f>IF(C1159="",NA(),MATCH($B1159&amp;$C1159,'Smelter Look-up'!$J:$J,0))</f>
        <v>#N/A</v>
      </c>
      <c r="W1159" s="271"/>
      <c r="X1159" s="271">
        <f t="shared" ca="1" si="184"/>
        <v>0</v>
      </c>
      <c r="Y1159" s="271"/>
      <c r="Z1159" s="271"/>
      <c r="AB1159" s="273" t="str">
        <f t="shared" si="185"/>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83"/>
        <v/>
      </c>
      <c r="T1160" s="222" t="str">
        <f ca="1">IF(B1160="","",IF(ISERROR(MATCH($J1160,SorP!$B$1:$B$6230,0)),"",INDIRECT("'SorP'!$A$"&amp;MATCH($J1160,SorP!$B$1:$B$6230,0))))</f>
        <v/>
      </c>
      <c r="U1160" s="238"/>
      <c r="V1160" s="270" t="e">
        <f>IF(C1160="",NA(),MATCH($B1160&amp;$C1160,'Smelter Look-up'!$J:$J,0))</f>
        <v>#N/A</v>
      </c>
      <c r="W1160" s="271"/>
      <c r="X1160" s="271">
        <f t="shared" ca="1" si="184"/>
        <v>0</v>
      </c>
      <c r="Y1160" s="271"/>
      <c r="Z1160" s="271"/>
      <c r="AB1160" s="273" t="str">
        <f t="shared" si="185"/>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83"/>
        <v/>
      </c>
      <c r="T1161" s="222" t="str">
        <f ca="1">IF(B1161="","",IF(ISERROR(MATCH($J1161,SorP!$B$1:$B$6230,0)),"",INDIRECT("'SorP'!$A$"&amp;MATCH($J1161,SorP!$B$1:$B$6230,0))))</f>
        <v/>
      </c>
      <c r="U1161" s="238"/>
      <c r="V1161" s="270" t="e">
        <f>IF(C1161="",NA(),MATCH($B1161&amp;$C1161,'Smelter Look-up'!$J:$J,0))</f>
        <v>#N/A</v>
      </c>
      <c r="W1161" s="271"/>
      <c r="X1161" s="271">
        <f t="shared" ca="1" si="184"/>
        <v>0</v>
      </c>
      <c r="Y1161" s="271"/>
      <c r="Z1161" s="271"/>
      <c r="AB1161" s="273" t="str">
        <f t="shared" si="185"/>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83"/>
        <v/>
      </c>
      <c r="T1162" s="222" t="str">
        <f ca="1">IF(B1162="","",IF(ISERROR(MATCH($J1162,SorP!$B$1:$B$6230,0)),"",INDIRECT("'SorP'!$A$"&amp;MATCH($J1162,SorP!$B$1:$B$6230,0))))</f>
        <v/>
      </c>
      <c r="U1162" s="238"/>
      <c r="V1162" s="270" t="e">
        <f>IF(C1162="",NA(),MATCH($B1162&amp;$C1162,'Smelter Look-up'!$J:$J,0))</f>
        <v>#N/A</v>
      </c>
      <c r="W1162" s="271"/>
      <c r="X1162" s="271">
        <f t="shared" ca="1" si="184"/>
        <v>0</v>
      </c>
      <c r="Y1162" s="271"/>
      <c r="Z1162" s="271"/>
      <c r="AB1162" s="273" t="str">
        <f t="shared" si="185"/>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83"/>
        <v/>
      </c>
      <c r="T1163" s="222" t="str">
        <f ca="1">IF(B1163="","",IF(ISERROR(MATCH($J1163,SorP!$B$1:$B$6230,0)),"",INDIRECT("'SorP'!$A$"&amp;MATCH($J1163,SorP!$B$1:$B$6230,0))))</f>
        <v/>
      </c>
      <c r="U1163" s="238"/>
      <c r="V1163" s="270" t="e">
        <f>IF(C1163="",NA(),MATCH($B1163&amp;$C1163,'Smelter Look-up'!$J:$J,0))</f>
        <v>#N/A</v>
      </c>
      <c r="W1163" s="271"/>
      <c r="X1163" s="271">
        <f t="shared" ca="1" si="184"/>
        <v>0</v>
      </c>
      <c r="Y1163" s="271"/>
      <c r="Z1163" s="271"/>
      <c r="AB1163" s="273" t="str">
        <f t="shared" si="185"/>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83"/>
        <v/>
      </c>
      <c r="T1164" s="222" t="str">
        <f ca="1">IF(B1164="","",IF(ISERROR(MATCH($J1164,SorP!$B$1:$B$6230,0)),"",INDIRECT("'SorP'!$A$"&amp;MATCH($J1164,SorP!$B$1:$B$6230,0))))</f>
        <v/>
      </c>
      <c r="U1164" s="238"/>
      <c r="V1164" s="270" t="e">
        <f>IF(C1164="",NA(),MATCH($B1164&amp;$C1164,'Smelter Look-up'!$J:$J,0))</f>
        <v>#N/A</v>
      </c>
      <c r="W1164" s="271"/>
      <c r="X1164" s="271">
        <f t="shared" ca="1" si="184"/>
        <v>0</v>
      </c>
      <c r="Y1164" s="271"/>
      <c r="Z1164" s="271"/>
      <c r="AB1164" s="273" t="str">
        <f t="shared" si="185"/>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83"/>
        <v/>
      </c>
      <c r="T1165" s="222" t="str">
        <f ca="1">IF(B1165="","",IF(ISERROR(MATCH($J1165,SorP!$B$1:$B$6230,0)),"",INDIRECT("'SorP'!$A$"&amp;MATCH($J1165,SorP!$B$1:$B$6230,0))))</f>
        <v/>
      </c>
      <c r="U1165" s="238"/>
      <c r="V1165" s="270" t="e">
        <f>IF(C1165="",NA(),MATCH($B1165&amp;$C1165,'Smelter Look-up'!$J:$J,0))</f>
        <v>#N/A</v>
      </c>
      <c r="W1165" s="271"/>
      <c r="X1165" s="271">
        <f t="shared" ca="1" si="184"/>
        <v>0</v>
      </c>
      <c r="Y1165" s="271"/>
      <c r="Z1165" s="271"/>
      <c r="AB1165" s="273" t="str">
        <f t="shared" si="185"/>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83"/>
        <v/>
      </c>
      <c r="T1166" s="222" t="str">
        <f ca="1">IF(B1166="","",IF(ISERROR(MATCH($J1166,SorP!$B$1:$B$6230,0)),"",INDIRECT("'SorP'!$A$"&amp;MATCH($J1166,SorP!$B$1:$B$6230,0))))</f>
        <v/>
      </c>
      <c r="U1166" s="238"/>
      <c r="V1166" s="270" t="e">
        <f>IF(C1166="",NA(),MATCH($B1166&amp;$C1166,'Smelter Look-up'!$J:$J,0))</f>
        <v>#N/A</v>
      </c>
      <c r="W1166" s="271"/>
      <c r="X1166" s="271">
        <f t="shared" ca="1" si="184"/>
        <v>0</v>
      </c>
      <c r="Y1166" s="271"/>
      <c r="Z1166" s="271"/>
      <c r="AB1166" s="273" t="str">
        <f t="shared" si="185"/>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83"/>
        <v/>
      </c>
      <c r="T1167" s="222" t="str">
        <f ca="1">IF(B1167="","",IF(ISERROR(MATCH($J1167,SorP!$B$1:$B$6230,0)),"",INDIRECT("'SorP'!$A$"&amp;MATCH($J1167,SorP!$B$1:$B$6230,0))))</f>
        <v/>
      </c>
      <c r="U1167" s="238"/>
      <c r="V1167" s="270" t="e">
        <f>IF(C1167="",NA(),MATCH($B1167&amp;$C1167,'Smelter Look-up'!$J:$J,0))</f>
        <v>#N/A</v>
      </c>
      <c r="W1167" s="271"/>
      <c r="X1167" s="271">
        <f t="shared" ca="1" si="184"/>
        <v>0</v>
      </c>
      <c r="Y1167" s="271"/>
      <c r="Z1167" s="271"/>
      <c r="AB1167" s="273" t="str">
        <f t="shared" si="185"/>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83"/>
        <v/>
      </c>
      <c r="T1168" s="222" t="str">
        <f ca="1">IF(B1168="","",IF(ISERROR(MATCH($J1168,SorP!$B$1:$B$6230,0)),"",INDIRECT("'SorP'!$A$"&amp;MATCH($J1168,SorP!$B$1:$B$6230,0))))</f>
        <v/>
      </c>
      <c r="U1168" s="238"/>
      <c r="V1168" s="270" t="e">
        <f>IF(C1168="",NA(),MATCH($B1168&amp;$C1168,'Smelter Look-up'!$J:$J,0))</f>
        <v>#N/A</v>
      </c>
      <c r="W1168" s="271"/>
      <c r="X1168" s="271">
        <f t="shared" ca="1" si="184"/>
        <v>0</v>
      </c>
      <c r="Y1168" s="271"/>
      <c r="Z1168" s="271"/>
      <c r="AB1168" s="273" t="str">
        <f t="shared" si="185"/>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83"/>
        <v/>
      </c>
      <c r="T1169" s="222" t="str">
        <f ca="1">IF(B1169="","",IF(ISERROR(MATCH($J1169,SorP!$B$1:$B$6230,0)),"",INDIRECT("'SorP'!$A$"&amp;MATCH($J1169,SorP!$B$1:$B$6230,0))))</f>
        <v/>
      </c>
      <c r="U1169" s="238"/>
      <c r="V1169" s="270" t="e">
        <f>IF(C1169="",NA(),MATCH($B1169&amp;$C1169,'Smelter Look-up'!$J:$J,0))</f>
        <v>#N/A</v>
      </c>
      <c r="W1169" s="271"/>
      <c r="X1169" s="271">
        <f t="shared" ca="1" si="184"/>
        <v>0</v>
      </c>
      <c r="Y1169" s="271"/>
      <c r="Z1169" s="271"/>
      <c r="AB1169" s="273" t="str">
        <f t="shared" si="185"/>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83"/>
        <v/>
      </c>
      <c r="T1170" s="222" t="str">
        <f ca="1">IF(B1170="","",IF(ISERROR(MATCH($J1170,SorP!$B$1:$B$6230,0)),"",INDIRECT("'SorP'!$A$"&amp;MATCH($J1170,SorP!$B$1:$B$6230,0))))</f>
        <v/>
      </c>
      <c r="U1170" s="238"/>
      <c r="V1170" s="270" t="e">
        <f>IF(C1170="",NA(),MATCH($B1170&amp;$C1170,'Smelter Look-up'!$J:$J,0))</f>
        <v>#N/A</v>
      </c>
      <c r="W1170" s="271"/>
      <c r="X1170" s="271">
        <f t="shared" ca="1" si="184"/>
        <v>0</v>
      </c>
      <c r="Y1170" s="271"/>
      <c r="Z1170" s="271"/>
      <c r="AB1170" s="273" t="str">
        <f t="shared" si="185"/>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83"/>
        <v/>
      </c>
      <c r="T1171" s="222" t="str">
        <f ca="1">IF(B1171="","",IF(ISERROR(MATCH($J1171,SorP!$B$1:$B$6230,0)),"",INDIRECT("'SorP'!$A$"&amp;MATCH($J1171,SorP!$B$1:$B$6230,0))))</f>
        <v/>
      </c>
      <c r="U1171" s="238"/>
      <c r="V1171" s="270" t="e">
        <f>IF(C1171="",NA(),MATCH($B1171&amp;$C1171,'Smelter Look-up'!$J:$J,0))</f>
        <v>#N/A</v>
      </c>
      <c r="W1171" s="271"/>
      <c r="X1171" s="271">
        <f t="shared" ca="1" si="184"/>
        <v>0</v>
      </c>
      <c r="Y1171" s="271"/>
      <c r="Z1171" s="271"/>
      <c r="AB1171" s="273" t="str">
        <f t="shared" si="185"/>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83"/>
        <v/>
      </c>
      <c r="T1172" s="222" t="str">
        <f ca="1">IF(B1172="","",IF(ISERROR(MATCH($J1172,SorP!$B$1:$B$6230,0)),"",INDIRECT("'SorP'!$A$"&amp;MATCH($J1172,SorP!$B$1:$B$6230,0))))</f>
        <v/>
      </c>
      <c r="U1172" s="238"/>
      <c r="V1172" s="270" t="e">
        <f>IF(C1172="",NA(),MATCH($B1172&amp;$C1172,'Smelter Look-up'!$J:$J,0))</f>
        <v>#N/A</v>
      </c>
      <c r="W1172" s="271"/>
      <c r="X1172" s="271">
        <f t="shared" ca="1" si="184"/>
        <v>0</v>
      </c>
      <c r="Y1172" s="271"/>
      <c r="Z1172" s="271"/>
      <c r="AB1172" s="273" t="str">
        <f t="shared" si="185"/>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83"/>
        <v/>
      </c>
      <c r="T1173" s="222" t="str">
        <f ca="1">IF(B1173="","",IF(ISERROR(MATCH($J1173,SorP!$B$1:$B$6230,0)),"",INDIRECT("'SorP'!$A$"&amp;MATCH($J1173,SorP!$B$1:$B$6230,0))))</f>
        <v/>
      </c>
      <c r="U1173" s="238"/>
      <c r="V1173" s="270" t="e">
        <f>IF(C1173="",NA(),MATCH($B1173&amp;$C1173,'Smelter Look-up'!$J:$J,0))</f>
        <v>#N/A</v>
      </c>
      <c r="W1173" s="271"/>
      <c r="X1173" s="271">
        <f t="shared" ca="1" si="184"/>
        <v>0</v>
      </c>
      <c r="Y1173" s="271"/>
      <c r="Z1173" s="271"/>
      <c r="AB1173" s="273" t="str">
        <f t="shared" si="185"/>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83"/>
        <v/>
      </c>
      <c r="T1174" s="222" t="str">
        <f ca="1">IF(B1174="","",IF(ISERROR(MATCH($J1174,SorP!$B$1:$B$6230,0)),"",INDIRECT("'SorP'!$A$"&amp;MATCH($J1174,SorP!$B$1:$B$6230,0))))</f>
        <v/>
      </c>
      <c r="U1174" s="238"/>
      <c r="V1174" s="270" t="e">
        <f>IF(C1174="",NA(),MATCH($B1174&amp;$C1174,'Smelter Look-up'!$J:$J,0))</f>
        <v>#N/A</v>
      </c>
      <c r="W1174" s="271"/>
      <c r="X1174" s="271">
        <f t="shared" ca="1" si="184"/>
        <v>0</v>
      </c>
      <c r="Y1174" s="271"/>
      <c r="Z1174" s="271"/>
      <c r="AB1174" s="273" t="str">
        <f t="shared" si="185"/>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83"/>
        <v/>
      </c>
      <c r="T1175" s="222" t="str">
        <f ca="1">IF(B1175="","",IF(ISERROR(MATCH($J1175,SorP!$B$1:$B$6230,0)),"",INDIRECT("'SorP'!$A$"&amp;MATCH($J1175,SorP!$B$1:$B$6230,0))))</f>
        <v/>
      </c>
      <c r="U1175" s="238"/>
      <c r="V1175" s="270" t="e">
        <f>IF(C1175="",NA(),MATCH($B1175&amp;$C1175,'Smelter Look-up'!$J:$J,0))</f>
        <v>#N/A</v>
      </c>
      <c r="W1175" s="271"/>
      <c r="X1175" s="271">
        <f t="shared" ca="1" si="184"/>
        <v>0</v>
      </c>
      <c r="Y1175" s="271"/>
      <c r="Z1175" s="271"/>
      <c r="AB1175" s="273" t="str">
        <f t="shared" si="185"/>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ref="S1176" ca="1" si="186">IF(B1176="","",IF(ISERROR(MATCH($E1176,CL,0)),"Unknown",INDIRECT("'C'!$A$"&amp;MATCH($E1176,CL,0)+1)))</f>
        <v/>
      </c>
      <c r="T1176" s="222" t="str">
        <f ca="1">IF(B1176="","",IF(ISERROR(MATCH($J1176,SorP!$B$1:$B$6230,0)),"",INDIRECT("'SorP'!$A$"&amp;MATCH($J1176,SorP!$B$1:$B$6230,0))))</f>
        <v/>
      </c>
      <c r="U1176" s="238"/>
      <c r="V1176" s="270" t="e">
        <f>IF(C1176="",NA(),MATCH($B1176&amp;$C1176,'Smelter Look-up'!$J:$J,0))</f>
        <v>#N/A</v>
      </c>
      <c r="W1176" s="271"/>
      <c r="X1176" s="271">
        <f t="shared" ref="X1176" ca="1" si="187">IF(AND(C1176="Smelter not listed",OR(LEN(D1176)=0,LEN(E1176)=0)),1,0)</f>
        <v>0</v>
      </c>
      <c r="Y1176" s="271"/>
      <c r="Z1176" s="271"/>
      <c r="AB1176" s="273" t="str">
        <f t="shared" ref="AB1176" si="188">B1176&amp;C1176</f>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ref="S1177:S1208" ca="1" si="189">IF(B1177="","",IF(ISERROR(MATCH($E1177,CL,0)),"Unknown",INDIRECT("'C'!$A$"&amp;MATCH($E1177,CL,0)+1)))</f>
        <v/>
      </c>
      <c r="T1177" s="222" t="str">
        <f ca="1">IF(B1177="","",IF(ISERROR(MATCH($J1177,SorP!$B$1:$B$6230,0)),"",INDIRECT("'SorP'!$A$"&amp;MATCH($J1177,SorP!$B$1:$B$6230,0))))</f>
        <v/>
      </c>
      <c r="U1177" s="238"/>
      <c r="V1177" s="270" t="e">
        <f>IF(C1177="",NA(),MATCH($B1177&amp;$C1177,'Smelter Look-up'!$J:$J,0))</f>
        <v>#N/A</v>
      </c>
      <c r="W1177" s="271"/>
      <c r="X1177" s="271">
        <f t="shared" ref="X1177:X1208" ca="1" si="190">IF(AND(C1177="Smelter not listed",OR(LEN(D1177)=0,LEN(E1177)=0)),1,0)</f>
        <v>0</v>
      </c>
      <c r="Y1177" s="271"/>
      <c r="Z1177" s="271"/>
      <c r="AB1177" s="273" t="str">
        <f t="shared" ref="AB1177:AB1208" si="191">B1177&amp;C1177</f>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89"/>
        <v/>
      </c>
      <c r="T1178" s="222" t="str">
        <f ca="1">IF(B1178="","",IF(ISERROR(MATCH($J1178,SorP!$B$1:$B$6230,0)),"",INDIRECT("'SorP'!$A$"&amp;MATCH($J1178,SorP!$B$1:$B$6230,0))))</f>
        <v/>
      </c>
      <c r="U1178" s="238"/>
      <c r="V1178" s="270" t="e">
        <f>IF(C1178="",NA(),MATCH($B1178&amp;$C1178,'Smelter Look-up'!$J:$J,0))</f>
        <v>#N/A</v>
      </c>
      <c r="W1178" s="271"/>
      <c r="X1178" s="271">
        <f t="shared" ca="1" si="190"/>
        <v>0</v>
      </c>
      <c r="Y1178" s="271"/>
      <c r="Z1178" s="271"/>
      <c r="AB1178" s="273" t="str">
        <f t="shared" si="191"/>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89"/>
        <v/>
      </c>
      <c r="T1179" s="222" t="str">
        <f ca="1">IF(B1179="","",IF(ISERROR(MATCH($J1179,SorP!$B$1:$B$6230,0)),"",INDIRECT("'SorP'!$A$"&amp;MATCH($J1179,SorP!$B$1:$B$6230,0))))</f>
        <v/>
      </c>
      <c r="U1179" s="238"/>
      <c r="V1179" s="270" t="e">
        <f>IF(C1179="",NA(),MATCH($B1179&amp;$C1179,'Smelter Look-up'!$J:$J,0))</f>
        <v>#N/A</v>
      </c>
      <c r="W1179" s="271"/>
      <c r="X1179" s="271">
        <f t="shared" ca="1" si="190"/>
        <v>0</v>
      </c>
      <c r="Y1179" s="271"/>
      <c r="Z1179" s="271"/>
      <c r="AB1179" s="273" t="str">
        <f t="shared" si="191"/>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ca="1" si="189"/>
        <v/>
      </c>
      <c r="T1180" s="222" t="str">
        <f ca="1">IF(B1180="","",IF(ISERROR(MATCH($J1180,SorP!$B$1:$B$6230,0)),"",INDIRECT("'SorP'!$A$"&amp;MATCH($J1180,SorP!$B$1:$B$6230,0))))</f>
        <v/>
      </c>
      <c r="U1180" s="238"/>
      <c r="V1180" s="270" t="e">
        <f>IF(C1180="",NA(),MATCH($B1180&amp;$C1180,'Smelter Look-up'!$J:$J,0))</f>
        <v>#N/A</v>
      </c>
      <c r="W1180" s="271"/>
      <c r="X1180" s="271">
        <f t="shared" ca="1" si="190"/>
        <v>0</v>
      </c>
      <c r="Y1180" s="271"/>
      <c r="Z1180" s="271"/>
      <c r="AB1180" s="273" t="str">
        <f t="shared" si="191"/>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89"/>
        <v/>
      </c>
      <c r="T1181" s="222" t="str">
        <f ca="1">IF(B1181="","",IF(ISERROR(MATCH($J1181,SorP!$B$1:$B$6230,0)),"",INDIRECT("'SorP'!$A$"&amp;MATCH($J1181,SorP!$B$1:$B$6230,0))))</f>
        <v/>
      </c>
      <c r="U1181" s="238"/>
      <c r="V1181" s="270" t="e">
        <f>IF(C1181="",NA(),MATCH($B1181&amp;$C1181,'Smelter Look-up'!$J:$J,0))</f>
        <v>#N/A</v>
      </c>
      <c r="W1181" s="271"/>
      <c r="X1181" s="271">
        <f t="shared" ca="1" si="190"/>
        <v>0</v>
      </c>
      <c r="Y1181" s="271"/>
      <c r="Z1181" s="271"/>
      <c r="AB1181" s="273" t="str">
        <f t="shared" si="191"/>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89"/>
        <v/>
      </c>
      <c r="T1182" s="222" t="str">
        <f ca="1">IF(B1182="","",IF(ISERROR(MATCH($J1182,SorP!$B$1:$B$6230,0)),"",INDIRECT("'SorP'!$A$"&amp;MATCH($J1182,SorP!$B$1:$B$6230,0))))</f>
        <v/>
      </c>
      <c r="U1182" s="238"/>
      <c r="V1182" s="270" t="e">
        <f>IF(C1182="",NA(),MATCH($B1182&amp;$C1182,'Smelter Look-up'!$J:$J,0))</f>
        <v>#N/A</v>
      </c>
      <c r="W1182" s="271"/>
      <c r="X1182" s="271">
        <f t="shared" ca="1" si="190"/>
        <v>0</v>
      </c>
      <c r="Y1182" s="271"/>
      <c r="Z1182" s="271"/>
      <c r="AB1182" s="273" t="str">
        <f t="shared" si="191"/>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89"/>
        <v/>
      </c>
      <c r="T1183" s="222" t="str">
        <f ca="1">IF(B1183="","",IF(ISERROR(MATCH($J1183,SorP!$B$1:$B$6230,0)),"",INDIRECT("'SorP'!$A$"&amp;MATCH($J1183,SorP!$B$1:$B$6230,0))))</f>
        <v/>
      </c>
      <c r="U1183" s="238"/>
      <c r="V1183" s="270" t="e">
        <f>IF(C1183="",NA(),MATCH($B1183&amp;$C1183,'Smelter Look-up'!$J:$J,0))</f>
        <v>#N/A</v>
      </c>
      <c r="W1183" s="271"/>
      <c r="X1183" s="271">
        <f t="shared" ca="1" si="190"/>
        <v>0</v>
      </c>
      <c r="Y1183" s="271"/>
      <c r="Z1183" s="271"/>
      <c r="AB1183" s="273" t="str">
        <f t="shared" si="191"/>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89"/>
        <v/>
      </c>
      <c r="T1184" s="222" t="str">
        <f ca="1">IF(B1184="","",IF(ISERROR(MATCH($J1184,SorP!$B$1:$B$6230,0)),"",INDIRECT("'SorP'!$A$"&amp;MATCH($J1184,SorP!$B$1:$B$6230,0))))</f>
        <v/>
      </c>
      <c r="U1184" s="238"/>
      <c r="V1184" s="270" t="e">
        <f>IF(C1184="",NA(),MATCH($B1184&amp;$C1184,'Smelter Look-up'!$J:$J,0))</f>
        <v>#N/A</v>
      </c>
      <c r="W1184" s="271"/>
      <c r="X1184" s="271">
        <f t="shared" ca="1" si="190"/>
        <v>0</v>
      </c>
      <c r="Y1184" s="271"/>
      <c r="Z1184" s="271"/>
      <c r="AB1184" s="273" t="str">
        <f t="shared" si="191"/>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89"/>
        <v/>
      </c>
      <c r="T1185" s="222" t="str">
        <f ca="1">IF(B1185="","",IF(ISERROR(MATCH($J1185,SorP!$B$1:$B$6230,0)),"",INDIRECT("'SorP'!$A$"&amp;MATCH($J1185,SorP!$B$1:$B$6230,0))))</f>
        <v/>
      </c>
      <c r="U1185" s="238"/>
      <c r="V1185" s="270" t="e">
        <f>IF(C1185="",NA(),MATCH($B1185&amp;$C1185,'Smelter Look-up'!$J:$J,0))</f>
        <v>#N/A</v>
      </c>
      <c r="W1185" s="271"/>
      <c r="X1185" s="271">
        <f t="shared" ca="1" si="190"/>
        <v>0</v>
      </c>
      <c r="Y1185" s="271"/>
      <c r="Z1185" s="271"/>
      <c r="AB1185" s="273" t="str">
        <f t="shared" si="191"/>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89"/>
        <v/>
      </c>
      <c r="T1186" s="222" t="str">
        <f ca="1">IF(B1186="","",IF(ISERROR(MATCH($J1186,SorP!$B$1:$B$6230,0)),"",INDIRECT("'SorP'!$A$"&amp;MATCH($J1186,SorP!$B$1:$B$6230,0))))</f>
        <v/>
      </c>
      <c r="U1186" s="238"/>
      <c r="V1186" s="270" t="e">
        <f>IF(C1186="",NA(),MATCH($B1186&amp;$C1186,'Smelter Look-up'!$J:$J,0))</f>
        <v>#N/A</v>
      </c>
      <c r="W1186" s="271"/>
      <c r="X1186" s="271">
        <f t="shared" ca="1" si="190"/>
        <v>0</v>
      </c>
      <c r="Y1186" s="271"/>
      <c r="Z1186" s="271"/>
      <c r="AB1186" s="273" t="str">
        <f t="shared" si="191"/>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89"/>
        <v/>
      </c>
      <c r="T1187" s="222" t="str">
        <f ca="1">IF(B1187="","",IF(ISERROR(MATCH($J1187,SorP!$B$1:$B$6230,0)),"",INDIRECT("'SorP'!$A$"&amp;MATCH($J1187,SorP!$B$1:$B$6230,0))))</f>
        <v/>
      </c>
      <c r="U1187" s="238"/>
      <c r="V1187" s="270" t="e">
        <f>IF(C1187="",NA(),MATCH($B1187&amp;$C1187,'Smelter Look-up'!$J:$J,0))</f>
        <v>#N/A</v>
      </c>
      <c r="W1187" s="271"/>
      <c r="X1187" s="271">
        <f t="shared" ca="1" si="190"/>
        <v>0</v>
      </c>
      <c r="Y1187" s="271"/>
      <c r="Z1187" s="271"/>
      <c r="AB1187" s="273" t="str">
        <f t="shared" si="191"/>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89"/>
        <v/>
      </c>
      <c r="T1188" s="222" t="str">
        <f ca="1">IF(B1188="","",IF(ISERROR(MATCH($J1188,SorP!$B$1:$B$6230,0)),"",INDIRECT("'SorP'!$A$"&amp;MATCH($J1188,SorP!$B$1:$B$6230,0))))</f>
        <v/>
      </c>
      <c r="U1188" s="238"/>
      <c r="V1188" s="270" t="e">
        <f>IF(C1188="",NA(),MATCH($B1188&amp;$C1188,'Smelter Look-up'!$J:$J,0))</f>
        <v>#N/A</v>
      </c>
      <c r="W1188" s="271"/>
      <c r="X1188" s="271">
        <f t="shared" ca="1" si="190"/>
        <v>0</v>
      </c>
      <c r="Y1188" s="271"/>
      <c r="Z1188" s="271"/>
      <c r="AB1188" s="273" t="str">
        <f t="shared" si="191"/>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89"/>
        <v/>
      </c>
      <c r="T1189" s="222" t="str">
        <f ca="1">IF(B1189="","",IF(ISERROR(MATCH($J1189,SorP!$B$1:$B$6230,0)),"",INDIRECT("'SorP'!$A$"&amp;MATCH($J1189,SorP!$B$1:$B$6230,0))))</f>
        <v/>
      </c>
      <c r="U1189" s="238"/>
      <c r="V1189" s="270" t="e">
        <f>IF(C1189="",NA(),MATCH($B1189&amp;$C1189,'Smelter Look-up'!$J:$J,0))</f>
        <v>#N/A</v>
      </c>
      <c r="W1189" s="271"/>
      <c r="X1189" s="271">
        <f t="shared" ca="1" si="190"/>
        <v>0</v>
      </c>
      <c r="Y1189" s="271"/>
      <c r="Z1189" s="271"/>
      <c r="AB1189" s="273" t="str">
        <f t="shared" si="191"/>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89"/>
        <v/>
      </c>
      <c r="T1190" s="222" t="str">
        <f ca="1">IF(B1190="","",IF(ISERROR(MATCH($J1190,SorP!$B$1:$B$6230,0)),"",INDIRECT("'SorP'!$A$"&amp;MATCH($J1190,SorP!$B$1:$B$6230,0))))</f>
        <v/>
      </c>
      <c r="U1190" s="238"/>
      <c r="V1190" s="270" t="e">
        <f>IF(C1190="",NA(),MATCH($B1190&amp;$C1190,'Smelter Look-up'!$J:$J,0))</f>
        <v>#N/A</v>
      </c>
      <c r="W1190" s="271"/>
      <c r="X1190" s="271">
        <f t="shared" ca="1" si="190"/>
        <v>0</v>
      </c>
      <c r="Y1190" s="271"/>
      <c r="Z1190" s="271"/>
      <c r="AB1190" s="273" t="str">
        <f t="shared" si="191"/>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89"/>
        <v/>
      </c>
      <c r="T1191" s="222" t="str">
        <f ca="1">IF(B1191="","",IF(ISERROR(MATCH($J1191,SorP!$B$1:$B$6230,0)),"",INDIRECT("'SorP'!$A$"&amp;MATCH($J1191,SorP!$B$1:$B$6230,0))))</f>
        <v/>
      </c>
      <c r="U1191" s="238"/>
      <c r="V1191" s="270" t="e">
        <f>IF(C1191="",NA(),MATCH($B1191&amp;$C1191,'Smelter Look-up'!$J:$J,0))</f>
        <v>#N/A</v>
      </c>
      <c r="W1191" s="271"/>
      <c r="X1191" s="271">
        <f t="shared" ca="1" si="190"/>
        <v>0</v>
      </c>
      <c r="Y1191" s="271"/>
      <c r="Z1191" s="271"/>
      <c r="AB1191" s="273" t="str">
        <f t="shared" si="191"/>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89"/>
        <v/>
      </c>
      <c r="T1192" s="222" t="str">
        <f ca="1">IF(B1192="","",IF(ISERROR(MATCH($J1192,SorP!$B$1:$B$6230,0)),"",INDIRECT("'SorP'!$A$"&amp;MATCH($J1192,SorP!$B$1:$B$6230,0))))</f>
        <v/>
      </c>
      <c r="U1192" s="238"/>
      <c r="V1192" s="270" t="e">
        <f>IF(C1192="",NA(),MATCH($B1192&amp;$C1192,'Smelter Look-up'!$J:$J,0))</f>
        <v>#N/A</v>
      </c>
      <c r="W1192" s="271"/>
      <c r="X1192" s="271">
        <f t="shared" ca="1" si="190"/>
        <v>0</v>
      </c>
      <c r="Y1192" s="271"/>
      <c r="Z1192" s="271"/>
      <c r="AB1192" s="273" t="str">
        <f t="shared" si="191"/>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89"/>
        <v/>
      </c>
      <c r="T1193" s="222" t="str">
        <f ca="1">IF(B1193="","",IF(ISERROR(MATCH($J1193,SorP!$B$1:$B$6230,0)),"",INDIRECT("'SorP'!$A$"&amp;MATCH($J1193,SorP!$B$1:$B$6230,0))))</f>
        <v/>
      </c>
      <c r="U1193" s="238"/>
      <c r="V1193" s="270" t="e">
        <f>IF(C1193="",NA(),MATCH($B1193&amp;$C1193,'Smelter Look-up'!$J:$J,0))</f>
        <v>#N/A</v>
      </c>
      <c r="W1193" s="271"/>
      <c r="X1193" s="271">
        <f t="shared" ca="1" si="190"/>
        <v>0</v>
      </c>
      <c r="Y1193" s="271"/>
      <c r="Z1193" s="271"/>
      <c r="AB1193" s="273" t="str">
        <f t="shared" si="191"/>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89"/>
        <v/>
      </c>
      <c r="T1194" s="222" t="str">
        <f ca="1">IF(B1194="","",IF(ISERROR(MATCH($J1194,SorP!$B$1:$B$6230,0)),"",INDIRECT("'SorP'!$A$"&amp;MATCH($J1194,SorP!$B$1:$B$6230,0))))</f>
        <v/>
      </c>
      <c r="U1194" s="238"/>
      <c r="V1194" s="270" t="e">
        <f>IF(C1194="",NA(),MATCH($B1194&amp;$C1194,'Smelter Look-up'!$J:$J,0))</f>
        <v>#N/A</v>
      </c>
      <c r="W1194" s="271"/>
      <c r="X1194" s="271">
        <f t="shared" ca="1" si="190"/>
        <v>0</v>
      </c>
      <c r="Y1194" s="271"/>
      <c r="Z1194" s="271"/>
      <c r="AB1194" s="273" t="str">
        <f t="shared" si="191"/>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89"/>
        <v/>
      </c>
      <c r="T1195" s="222" t="str">
        <f ca="1">IF(B1195="","",IF(ISERROR(MATCH($J1195,SorP!$B$1:$B$6230,0)),"",INDIRECT("'SorP'!$A$"&amp;MATCH($J1195,SorP!$B$1:$B$6230,0))))</f>
        <v/>
      </c>
      <c r="U1195" s="238"/>
      <c r="V1195" s="270" t="e">
        <f>IF(C1195="",NA(),MATCH($B1195&amp;$C1195,'Smelter Look-up'!$J:$J,0))</f>
        <v>#N/A</v>
      </c>
      <c r="W1195" s="271"/>
      <c r="X1195" s="271">
        <f t="shared" ca="1" si="190"/>
        <v>0</v>
      </c>
      <c r="Y1195" s="271"/>
      <c r="Z1195" s="271"/>
      <c r="AB1195" s="273" t="str">
        <f t="shared" si="191"/>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89"/>
        <v/>
      </c>
      <c r="T1196" s="222" t="str">
        <f ca="1">IF(B1196="","",IF(ISERROR(MATCH($J1196,SorP!$B$1:$B$6230,0)),"",INDIRECT("'SorP'!$A$"&amp;MATCH($J1196,SorP!$B$1:$B$6230,0))))</f>
        <v/>
      </c>
      <c r="U1196" s="238"/>
      <c r="V1196" s="270" t="e">
        <f>IF(C1196="",NA(),MATCH($B1196&amp;$C1196,'Smelter Look-up'!$J:$J,0))</f>
        <v>#N/A</v>
      </c>
      <c r="W1196" s="271"/>
      <c r="X1196" s="271">
        <f t="shared" ca="1" si="190"/>
        <v>0</v>
      </c>
      <c r="Y1196" s="271"/>
      <c r="Z1196" s="271"/>
      <c r="AB1196" s="273" t="str">
        <f t="shared" si="191"/>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89"/>
        <v/>
      </c>
      <c r="T1197" s="222" t="str">
        <f ca="1">IF(B1197="","",IF(ISERROR(MATCH($J1197,SorP!$B$1:$B$6230,0)),"",INDIRECT("'SorP'!$A$"&amp;MATCH($J1197,SorP!$B$1:$B$6230,0))))</f>
        <v/>
      </c>
      <c r="U1197" s="238"/>
      <c r="V1197" s="270" t="e">
        <f>IF(C1197="",NA(),MATCH($B1197&amp;$C1197,'Smelter Look-up'!$J:$J,0))</f>
        <v>#N/A</v>
      </c>
      <c r="W1197" s="271"/>
      <c r="X1197" s="271">
        <f t="shared" ca="1" si="190"/>
        <v>0</v>
      </c>
      <c r="Y1197" s="271"/>
      <c r="Z1197" s="271"/>
      <c r="AB1197" s="273" t="str">
        <f t="shared" si="191"/>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89"/>
        <v/>
      </c>
      <c r="T1198" s="222" t="str">
        <f ca="1">IF(B1198="","",IF(ISERROR(MATCH($J1198,SorP!$B$1:$B$6230,0)),"",INDIRECT("'SorP'!$A$"&amp;MATCH($J1198,SorP!$B$1:$B$6230,0))))</f>
        <v/>
      </c>
      <c r="U1198" s="238"/>
      <c r="V1198" s="270" t="e">
        <f>IF(C1198="",NA(),MATCH($B1198&amp;$C1198,'Smelter Look-up'!$J:$J,0))</f>
        <v>#N/A</v>
      </c>
      <c r="W1198" s="271"/>
      <c r="X1198" s="271">
        <f t="shared" ca="1" si="190"/>
        <v>0</v>
      </c>
      <c r="Y1198" s="271"/>
      <c r="Z1198" s="271"/>
      <c r="AB1198" s="273" t="str">
        <f t="shared" si="191"/>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89"/>
        <v/>
      </c>
      <c r="T1199" s="222" t="str">
        <f ca="1">IF(B1199="","",IF(ISERROR(MATCH($J1199,SorP!$B$1:$B$6230,0)),"",INDIRECT("'SorP'!$A$"&amp;MATCH($J1199,SorP!$B$1:$B$6230,0))))</f>
        <v/>
      </c>
      <c r="U1199" s="238"/>
      <c r="V1199" s="270" t="e">
        <f>IF(C1199="",NA(),MATCH($B1199&amp;$C1199,'Smelter Look-up'!$J:$J,0))</f>
        <v>#N/A</v>
      </c>
      <c r="W1199" s="271"/>
      <c r="X1199" s="271">
        <f t="shared" ca="1" si="190"/>
        <v>0</v>
      </c>
      <c r="Y1199" s="271"/>
      <c r="Z1199" s="271"/>
      <c r="AB1199" s="273" t="str">
        <f t="shared" si="191"/>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89"/>
        <v/>
      </c>
      <c r="T1200" s="222" t="str">
        <f ca="1">IF(B1200="","",IF(ISERROR(MATCH($J1200,SorP!$B$1:$B$6230,0)),"",INDIRECT("'SorP'!$A$"&amp;MATCH($J1200,SorP!$B$1:$B$6230,0))))</f>
        <v/>
      </c>
      <c r="U1200" s="238"/>
      <c r="V1200" s="270" t="e">
        <f>IF(C1200="",NA(),MATCH($B1200&amp;$C1200,'Smelter Look-up'!$J:$J,0))</f>
        <v>#N/A</v>
      </c>
      <c r="W1200" s="271"/>
      <c r="X1200" s="271">
        <f t="shared" ca="1" si="190"/>
        <v>0</v>
      </c>
      <c r="Y1200" s="271"/>
      <c r="Z1200" s="271"/>
      <c r="AB1200" s="273" t="str">
        <f t="shared" si="191"/>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89"/>
        <v/>
      </c>
      <c r="T1201" s="222" t="str">
        <f ca="1">IF(B1201="","",IF(ISERROR(MATCH($J1201,SorP!$B$1:$B$6230,0)),"",INDIRECT("'SorP'!$A$"&amp;MATCH($J1201,SorP!$B$1:$B$6230,0))))</f>
        <v/>
      </c>
      <c r="U1201" s="238"/>
      <c r="V1201" s="270" t="e">
        <f>IF(C1201="",NA(),MATCH($B1201&amp;$C1201,'Smelter Look-up'!$J:$J,0))</f>
        <v>#N/A</v>
      </c>
      <c r="W1201" s="271"/>
      <c r="X1201" s="271">
        <f t="shared" ca="1" si="190"/>
        <v>0</v>
      </c>
      <c r="Y1201" s="271"/>
      <c r="Z1201" s="271"/>
      <c r="AB1201" s="273" t="str">
        <f t="shared" si="191"/>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89"/>
        <v/>
      </c>
      <c r="T1202" s="222" t="str">
        <f ca="1">IF(B1202="","",IF(ISERROR(MATCH($J1202,SorP!$B$1:$B$6230,0)),"",INDIRECT("'SorP'!$A$"&amp;MATCH($J1202,SorP!$B$1:$B$6230,0))))</f>
        <v/>
      </c>
      <c r="U1202" s="238"/>
      <c r="V1202" s="270" t="e">
        <f>IF(C1202="",NA(),MATCH($B1202&amp;$C1202,'Smelter Look-up'!$J:$J,0))</f>
        <v>#N/A</v>
      </c>
      <c r="W1202" s="271"/>
      <c r="X1202" s="271">
        <f t="shared" ca="1" si="190"/>
        <v>0</v>
      </c>
      <c r="Y1202" s="271"/>
      <c r="Z1202" s="271"/>
      <c r="AB1202" s="273" t="str">
        <f t="shared" si="191"/>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89"/>
        <v/>
      </c>
      <c r="T1203" s="222" t="str">
        <f ca="1">IF(B1203="","",IF(ISERROR(MATCH($J1203,SorP!$B$1:$B$6230,0)),"",INDIRECT("'SorP'!$A$"&amp;MATCH($J1203,SorP!$B$1:$B$6230,0))))</f>
        <v/>
      </c>
      <c r="U1203" s="238"/>
      <c r="V1203" s="270" t="e">
        <f>IF(C1203="",NA(),MATCH($B1203&amp;$C1203,'Smelter Look-up'!$J:$J,0))</f>
        <v>#N/A</v>
      </c>
      <c r="W1203" s="271"/>
      <c r="X1203" s="271">
        <f t="shared" ca="1" si="190"/>
        <v>0</v>
      </c>
      <c r="Y1203" s="271"/>
      <c r="Z1203" s="271"/>
      <c r="AB1203" s="273" t="str">
        <f t="shared" si="191"/>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89"/>
        <v/>
      </c>
      <c r="T1204" s="222" t="str">
        <f ca="1">IF(B1204="","",IF(ISERROR(MATCH($J1204,SorP!$B$1:$B$6230,0)),"",INDIRECT("'SorP'!$A$"&amp;MATCH($J1204,SorP!$B$1:$B$6230,0))))</f>
        <v/>
      </c>
      <c r="U1204" s="238"/>
      <c r="V1204" s="270" t="e">
        <f>IF(C1204="",NA(),MATCH($B1204&amp;$C1204,'Smelter Look-up'!$J:$J,0))</f>
        <v>#N/A</v>
      </c>
      <c r="W1204" s="271"/>
      <c r="X1204" s="271">
        <f t="shared" ca="1" si="190"/>
        <v>0</v>
      </c>
      <c r="Y1204" s="271"/>
      <c r="Z1204" s="271"/>
      <c r="AB1204" s="273" t="str">
        <f t="shared" si="191"/>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89"/>
        <v/>
      </c>
      <c r="T1205" s="222" t="str">
        <f ca="1">IF(B1205="","",IF(ISERROR(MATCH($J1205,SorP!$B$1:$B$6230,0)),"",INDIRECT("'SorP'!$A$"&amp;MATCH($J1205,SorP!$B$1:$B$6230,0))))</f>
        <v/>
      </c>
      <c r="U1205" s="238"/>
      <c r="V1205" s="270" t="e">
        <f>IF(C1205="",NA(),MATCH($B1205&amp;$C1205,'Smelter Look-up'!$J:$J,0))</f>
        <v>#N/A</v>
      </c>
      <c r="W1205" s="271"/>
      <c r="X1205" s="271">
        <f t="shared" ca="1" si="190"/>
        <v>0</v>
      </c>
      <c r="Y1205" s="271"/>
      <c r="Z1205" s="271"/>
      <c r="AB1205" s="273" t="str">
        <f t="shared" si="191"/>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89"/>
        <v/>
      </c>
      <c r="T1206" s="222" t="str">
        <f ca="1">IF(B1206="","",IF(ISERROR(MATCH($J1206,SorP!$B$1:$B$6230,0)),"",INDIRECT("'SorP'!$A$"&amp;MATCH($J1206,SorP!$B$1:$B$6230,0))))</f>
        <v/>
      </c>
      <c r="U1206" s="238"/>
      <c r="V1206" s="270" t="e">
        <f>IF(C1206="",NA(),MATCH($B1206&amp;$C1206,'Smelter Look-up'!$J:$J,0))</f>
        <v>#N/A</v>
      </c>
      <c r="W1206" s="271"/>
      <c r="X1206" s="271">
        <f t="shared" ca="1" si="190"/>
        <v>0</v>
      </c>
      <c r="Y1206" s="271"/>
      <c r="Z1206" s="271"/>
      <c r="AB1206" s="273" t="str">
        <f t="shared" si="191"/>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89"/>
        <v/>
      </c>
      <c r="T1207" s="222" t="str">
        <f ca="1">IF(B1207="","",IF(ISERROR(MATCH($J1207,SorP!$B$1:$B$6230,0)),"",INDIRECT("'SorP'!$A$"&amp;MATCH($J1207,SorP!$B$1:$B$6230,0))))</f>
        <v/>
      </c>
      <c r="U1207" s="238"/>
      <c r="V1207" s="270" t="e">
        <f>IF(C1207="",NA(),MATCH($B1207&amp;$C1207,'Smelter Look-up'!$J:$J,0))</f>
        <v>#N/A</v>
      </c>
      <c r="W1207" s="271"/>
      <c r="X1207" s="271">
        <f t="shared" ca="1" si="190"/>
        <v>0</v>
      </c>
      <c r="Y1207" s="271"/>
      <c r="Z1207" s="271"/>
      <c r="AB1207" s="273" t="str">
        <f t="shared" si="191"/>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89"/>
        <v/>
      </c>
      <c r="T1208" s="222" t="str">
        <f ca="1">IF(B1208="","",IF(ISERROR(MATCH($J1208,SorP!$B$1:$B$6230,0)),"",INDIRECT("'SorP'!$A$"&amp;MATCH($J1208,SorP!$B$1:$B$6230,0))))</f>
        <v/>
      </c>
      <c r="U1208" s="238"/>
      <c r="V1208" s="270" t="e">
        <f>IF(C1208="",NA(),MATCH($B1208&amp;$C1208,'Smelter Look-up'!$J:$J,0))</f>
        <v>#N/A</v>
      </c>
      <c r="W1208" s="271"/>
      <c r="X1208" s="271">
        <f t="shared" ca="1" si="190"/>
        <v>0</v>
      </c>
      <c r="Y1208" s="271"/>
      <c r="Z1208" s="271"/>
      <c r="AB1208" s="273" t="str">
        <f t="shared" si="191"/>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ref="S1209:S1239" ca="1" si="192">IF(B1209="","",IF(ISERROR(MATCH($E1209,CL,0)),"Unknown",INDIRECT("'C'!$A$"&amp;MATCH($E1209,CL,0)+1)))</f>
        <v/>
      </c>
      <c r="T1209" s="222" t="str">
        <f ca="1">IF(B1209="","",IF(ISERROR(MATCH($J1209,SorP!$B$1:$B$6230,0)),"",INDIRECT("'SorP'!$A$"&amp;MATCH($J1209,SorP!$B$1:$B$6230,0))))</f>
        <v/>
      </c>
      <c r="U1209" s="238"/>
      <c r="V1209" s="270" t="e">
        <f>IF(C1209="",NA(),MATCH($B1209&amp;$C1209,'Smelter Look-up'!$J:$J,0))</f>
        <v>#N/A</v>
      </c>
      <c r="W1209" s="271"/>
      <c r="X1209" s="271">
        <f t="shared" ref="X1209:X1239" ca="1" si="193">IF(AND(C1209="Smelter not listed",OR(LEN(D1209)=0,LEN(E1209)=0)),1,0)</f>
        <v>0</v>
      </c>
      <c r="Y1209" s="271"/>
      <c r="Z1209" s="271"/>
      <c r="AB1209" s="273" t="str">
        <f t="shared" ref="AB1209:AB1239" si="194">B1209&amp;C1209</f>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92"/>
        <v/>
      </c>
      <c r="T1210" s="222" t="str">
        <f ca="1">IF(B1210="","",IF(ISERROR(MATCH($J1210,SorP!$B$1:$B$6230,0)),"",INDIRECT("'SorP'!$A$"&amp;MATCH($J1210,SorP!$B$1:$B$6230,0))))</f>
        <v/>
      </c>
      <c r="U1210" s="238"/>
      <c r="V1210" s="270" t="e">
        <f>IF(C1210="",NA(),MATCH($B1210&amp;$C1210,'Smelter Look-up'!$J:$J,0))</f>
        <v>#N/A</v>
      </c>
      <c r="W1210" s="271"/>
      <c r="X1210" s="271">
        <f t="shared" ca="1" si="193"/>
        <v>0</v>
      </c>
      <c r="Y1210" s="271"/>
      <c r="Z1210" s="271"/>
      <c r="AB1210" s="273" t="str">
        <f t="shared" si="194"/>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ca="1" si="192"/>
        <v/>
      </c>
      <c r="T1211" s="222" t="str">
        <f ca="1">IF(B1211="","",IF(ISERROR(MATCH($J1211,SorP!$B$1:$B$6230,0)),"",INDIRECT("'SorP'!$A$"&amp;MATCH($J1211,SorP!$B$1:$B$6230,0))))</f>
        <v/>
      </c>
      <c r="U1211" s="238"/>
      <c r="V1211" s="270" t="e">
        <f>IF(C1211="",NA(),MATCH($B1211&amp;$C1211,'Smelter Look-up'!$J:$J,0))</f>
        <v>#N/A</v>
      </c>
      <c r="W1211" s="271"/>
      <c r="X1211" s="271">
        <f t="shared" ca="1" si="193"/>
        <v>0</v>
      </c>
      <c r="Y1211" s="271"/>
      <c r="Z1211" s="271"/>
      <c r="AB1211" s="273" t="str">
        <f t="shared" si="194"/>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ca="1" si="192"/>
        <v/>
      </c>
      <c r="T1212" s="222" t="str">
        <f ca="1">IF(B1212="","",IF(ISERROR(MATCH($J1212,SorP!$B$1:$B$6230,0)),"",INDIRECT("'SorP'!$A$"&amp;MATCH($J1212,SorP!$B$1:$B$6230,0))))</f>
        <v/>
      </c>
      <c r="U1212" s="238"/>
      <c r="V1212" s="270" t="e">
        <f>IF(C1212="",NA(),MATCH($B1212&amp;$C1212,'Smelter Look-up'!$J:$J,0))</f>
        <v>#N/A</v>
      </c>
      <c r="W1212" s="271"/>
      <c r="X1212" s="271">
        <f t="shared" ca="1" si="193"/>
        <v>0</v>
      </c>
      <c r="Y1212" s="271"/>
      <c r="Z1212" s="271"/>
      <c r="AB1212" s="273" t="str">
        <f t="shared" si="194"/>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92"/>
        <v/>
      </c>
      <c r="T1213" s="222" t="str">
        <f ca="1">IF(B1213="","",IF(ISERROR(MATCH($J1213,SorP!$B$1:$B$6230,0)),"",INDIRECT("'SorP'!$A$"&amp;MATCH($J1213,SorP!$B$1:$B$6230,0))))</f>
        <v/>
      </c>
      <c r="U1213" s="238"/>
      <c r="V1213" s="270" t="e">
        <f>IF(C1213="",NA(),MATCH($B1213&amp;$C1213,'Smelter Look-up'!$J:$J,0))</f>
        <v>#N/A</v>
      </c>
      <c r="W1213" s="271"/>
      <c r="X1213" s="271">
        <f t="shared" ca="1" si="193"/>
        <v>0</v>
      </c>
      <c r="Y1213" s="271"/>
      <c r="Z1213" s="271"/>
      <c r="AB1213" s="273" t="str">
        <f t="shared" si="194"/>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92"/>
        <v/>
      </c>
      <c r="T1214" s="222" t="str">
        <f ca="1">IF(B1214="","",IF(ISERROR(MATCH($J1214,SorP!$B$1:$B$6230,0)),"",INDIRECT("'SorP'!$A$"&amp;MATCH($J1214,SorP!$B$1:$B$6230,0))))</f>
        <v/>
      </c>
      <c r="U1214" s="238"/>
      <c r="V1214" s="270" t="e">
        <f>IF(C1214="",NA(),MATCH($B1214&amp;$C1214,'Smelter Look-up'!$J:$J,0))</f>
        <v>#N/A</v>
      </c>
      <c r="W1214" s="271"/>
      <c r="X1214" s="271">
        <f t="shared" ca="1" si="193"/>
        <v>0</v>
      </c>
      <c r="Y1214" s="271"/>
      <c r="Z1214" s="271"/>
      <c r="AB1214" s="273" t="str">
        <f t="shared" si="194"/>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92"/>
        <v/>
      </c>
      <c r="T1215" s="222" t="str">
        <f ca="1">IF(B1215="","",IF(ISERROR(MATCH($J1215,SorP!$B$1:$B$6230,0)),"",INDIRECT("'SorP'!$A$"&amp;MATCH($J1215,SorP!$B$1:$B$6230,0))))</f>
        <v/>
      </c>
      <c r="U1215" s="238"/>
      <c r="V1215" s="270" t="e">
        <f>IF(C1215="",NA(),MATCH($B1215&amp;$C1215,'Smelter Look-up'!$J:$J,0))</f>
        <v>#N/A</v>
      </c>
      <c r="W1215" s="271"/>
      <c r="X1215" s="271">
        <f t="shared" ca="1" si="193"/>
        <v>0</v>
      </c>
      <c r="Y1215" s="271"/>
      <c r="Z1215" s="271"/>
      <c r="AB1215" s="273" t="str">
        <f t="shared" si="194"/>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92"/>
        <v/>
      </c>
      <c r="T1216" s="222" t="str">
        <f ca="1">IF(B1216="","",IF(ISERROR(MATCH($J1216,SorP!$B$1:$B$6230,0)),"",INDIRECT("'SorP'!$A$"&amp;MATCH($J1216,SorP!$B$1:$B$6230,0))))</f>
        <v/>
      </c>
      <c r="U1216" s="238"/>
      <c r="V1216" s="270" t="e">
        <f>IF(C1216="",NA(),MATCH($B1216&amp;$C1216,'Smelter Look-up'!$J:$J,0))</f>
        <v>#N/A</v>
      </c>
      <c r="W1216" s="271"/>
      <c r="X1216" s="271">
        <f t="shared" ca="1" si="193"/>
        <v>0</v>
      </c>
      <c r="Y1216" s="271"/>
      <c r="Z1216" s="271"/>
      <c r="AB1216" s="273" t="str">
        <f t="shared" si="194"/>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92"/>
        <v/>
      </c>
      <c r="T1217" s="222" t="str">
        <f ca="1">IF(B1217="","",IF(ISERROR(MATCH($J1217,SorP!$B$1:$B$6230,0)),"",INDIRECT("'SorP'!$A$"&amp;MATCH($J1217,SorP!$B$1:$B$6230,0))))</f>
        <v/>
      </c>
      <c r="U1217" s="238"/>
      <c r="V1217" s="270" t="e">
        <f>IF(C1217="",NA(),MATCH($B1217&amp;$C1217,'Smelter Look-up'!$J:$J,0))</f>
        <v>#N/A</v>
      </c>
      <c r="W1217" s="271"/>
      <c r="X1217" s="271">
        <f t="shared" ca="1" si="193"/>
        <v>0</v>
      </c>
      <c r="Y1217" s="271"/>
      <c r="Z1217" s="271"/>
      <c r="AB1217" s="273" t="str">
        <f t="shared" si="194"/>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92"/>
        <v/>
      </c>
      <c r="T1218" s="222" t="str">
        <f ca="1">IF(B1218="","",IF(ISERROR(MATCH($J1218,SorP!$B$1:$B$6230,0)),"",INDIRECT("'SorP'!$A$"&amp;MATCH($J1218,SorP!$B$1:$B$6230,0))))</f>
        <v/>
      </c>
      <c r="U1218" s="238"/>
      <c r="V1218" s="270" t="e">
        <f>IF(C1218="",NA(),MATCH($B1218&amp;$C1218,'Smelter Look-up'!$J:$J,0))</f>
        <v>#N/A</v>
      </c>
      <c r="W1218" s="271"/>
      <c r="X1218" s="271">
        <f t="shared" ca="1" si="193"/>
        <v>0</v>
      </c>
      <c r="Y1218" s="271"/>
      <c r="Z1218" s="271"/>
      <c r="AB1218" s="273" t="str">
        <f t="shared" si="194"/>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92"/>
        <v/>
      </c>
      <c r="T1219" s="222" t="str">
        <f ca="1">IF(B1219="","",IF(ISERROR(MATCH($J1219,SorP!$B$1:$B$6230,0)),"",INDIRECT("'SorP'!$A$"&amp;MATCH($J1219,SorP!$B$1:$B$6230,0))))</f>
        <v/>
      </c>
      <c r="U1219" s="238"/>
      <c r="V1219" s="270" t="e">
        <f>IF(C1219="",NA(),MATCH($B1219&amp;$C1219,'Smelter Look-up'!$J:$J,0))</f>
        <v>#N/A</v>
      </c>
      <c r="W1219" s="271"/>
      <c r="X1219" s="271">
        <f t="shared" ca="1" si="193"/>
        <v>0</v>
      </c>
      <c r="Y1219" s="271"/>
      <c r="Z1219" s="271"/>
      <c r="AB1219" s="273" t="str">
        <f t="shared" si="194"/>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92"/>
        <v/>
      </c>
      <c r="T1220" s="222" t="str">
        <f ca="1">IF(B1220="","",IF(ISERROR(MATCH($J1220,SorP!$B$1:$B$6230,0)),"",INDIRECT("'SorP'!$A$"&amp;MATCH($J1220,SorP!$B$1:$B$6230,0))))</f>
        <v/>
      </c>
      <c r="U1220" s="238"/>
      <c r="V1220" s="270" t="e">
        <f>IF(C1220="",NA(),MATCH($B1220&amp;$C1220,'Smelter Look-up'!$J:$J,0))</f>
        <v>#N/A</v>
      </c>
      <c r="W1220" s="271"/>
      <c r="X1220" s="271">
        <f t="shared" ca="1" si="193"/>
        <v>0</v>
      </c>
      <c r="Y1220" s="271"/>
      <c r="Z1220" s="271"/>
      <c r="AB1220" s="273" t="str">
        <f t="shared" si="194"/>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92"/>
        <v/>
      </c>
      <c r="T1221" s="222" t="str">
        <f ca="1">IF(B1221="","",IF(ISERROR(MATCH($J1221,SorP!$B$1:$B$6230,0)),"",INDIRECT("'SorP'!$A$"&amp;MATCH($J1221,SorP!$B$1:$B$6230,0))))</f>
        <v/>
      </c>
      <c r="U1221" s="238"/>
      <c r="V1221" s="270" t="e">
        <f>IF(C1221="",NA(),MATCH($B1221&amp;$C1221,'Smelter Look-up'!$J:$J,0))</f>
        <v>#N/A</v>
      </c>
      <c r="W1221" s="271"/>
      <c r="X1221" s="271">
        <f t="shared" ca="1" si="193"/>
        <v>0</v>
      </c>
      <c r="Y1221" s="271"/>
      <c r="Z1221" s="271"/>
      <c r="AB1221" s="273" t="str">
        <f t="shared" si="194"/>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92"/>
        <v/>
      </c>
      <c r="T1222" s="222" t="str">
        <f ca="1">IF(B1222="","",IF(ISERROR(MATCH($J1222,SorP!$B$1:$B$6230,0)),"",INDIRECT("'SorP'!$A$"&amp;MATCH($J1222,SorP!$B$1:$B$6230,0))))</f>
        <v/>
      </c>
      <c r="U1222" s="238"/>
      <c r="V1222" s="270" t="e">
        <f>IF(C1222="",NA(),MATCH($B1222&amp;$C1222,'Smelter Look-up'!$J:$J,0))</f>
        <v>#N/A</v>
      </c>
      <c r="W1222" s="271"/>
      <c r="X1222" s="271">
        <f t="shared" ca="1" si="193"/>
        <v>0</v>
      </c>
      <c r="Y1222" s="271"/>
      <c r="Z1222" s="271"/>
      <c r="AB1222" s="273" t="str">
        <f t="shared" si="194"/>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92"/>
        <v/>
      </c>
      <c r="T1223" s="222" t="str">
        <f ca="1">IF(B1223="","",IF(ISERROR(MATCH($J1223,SorP!$B$1:$B$6230,0)),"",INDIRECT("'SorP'!$A$"&amp;MATCH($J1223,SorP!$B$1:$B$6230,0))))</f>
        <v/>
      </c>
      <c r="U1223" s="238"/>
      <c r="V1223" s="270" t="e">
        <f>IF(C1223="",NA(),MATCH($B1223&amp;$C1223,'Smelter Look-up'!$J:$J,0))</f>
        <v>#N/A</v>
      </c>
      <c r="W1223" s="271"/>
      <c r="X1223" s="271">
        <f t="shared" ca="1" si="193"/>
        <v>0</v>
      </c>
      <c r="Y1223" s="271"/>
      <c r="Z1223" s="271"/>
      <c r="AB1223" s="273" t="str">
        <f t="shared" si="194"/>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92"/>
        <v/>
      </c>
      <c r="T1224" s="222" t="str">
        <f ca="1">IF(B1224="","",IF(ISERROR(MATCH($J1224,SorP!$B$1:$B$6230,0)),"",INDIRECT("'SorP'!$A$"&amp;MATCH($J1224,SorP!$B$1:$B$6230,0))))</f>
        <v/>
      </c>
      <c r="U1224" s="238"/>
      <c r="V1224" s="270" t="e">
        <f>IF(C1224="",NA(),MATCH($B1224&amp;$C1224,'Smelter Look-up'!$J:$J,0))</f>
        <v>#N/A</v>
      </c>
      <c r="W1224" s="271"/>
      <c r="X1224" s="271">
        <f t="shared" ca="1" si="193"/>
        <v>0</v>
      </c>
      <c r="Y1224" s="271"/>
      <c r="Z1224" s="271"/>
      <c r="AB1224" s="273" t="str">
        <f t="shared" si="194"/>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92"/>
        <v/>
      </c>
      <c r="T1225" s="222" t="str">
        <f ca="1">IF(B1225="","",IF(ISERROR(MATCH($J1225,SorP!$B$1:$B$6230,0)),"",INDIRECT("'SorP'!$A$"&amp;MATCH($J1225,SorP!$B$1:$B$6230,0))))</f>
        <v/>
      </c>
      <c r="U1225" s="238"/>
      <c r="V1225" s="270" t="e">
        <f>IF(C1225="",NA(),MATCH($B1225&amp;$C1225,'Smelter Look-up'!$J:$J,0))</f>
        <v>#N/A</v>
      </c>
      <c r="W1225" s="271"/>
      <c r="X1225" s="271">
        <f t="shared" ca="1" si="193"/>
        <v>0</v>
      </c>
      <c r="Y1225" s="271"/>
      <c r="Z1225" s="271"/>
      <c r="AB1225" s="273" t="str">
        <f t="shared" si="194"/>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92"/>
        <v/>
      </c>
      <c r="T1226" s="222" t="str">
        <f ca="1">IF(B1226="","",IF(ISERROR(MATCH($J1226,SorP!$B$1:$B$6230,0)),"",INDIRECT("'SorP'!$A$"&amp;MATCH($J1226,SorP!$B$1:$B$6230,0))))</f>
        <v/>
      </c>
      <c r="U1226" s="238"/>
      <c r="V1226" s="270" t="e">
        <f>IF(C1226="",NA(),MATCH($B1226&amp;$C1226,'Smelter Look-up'!$J:$J,0))</f>
        <v>#N/A</v>
      </c>
      <c r="W1226" s="271"/>
      <c r="X1226" s="271">
        <f t="shared" ca="1" si="193"/>
        <v>0</v>
      </c>
      <c r="Y1226" s="271"/>
      <c r="Z1226" s="271"/>
      <c r="AB1226" s="273" t="str">
        <f t="shared" si="194"/>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92"/>
        <v/>
      </c>
      <c r="T1227" s="222" t="str">
        <f ca="1">IF(B1227="","",IF(ISERROR(MATCH($J1227,SorP!$B$1:$B$6230,0)),"",INDIRECT("'SorP'!$A$"&amp;MATCH($J1227,SorP!$B$1:$B$6230,0))))</f>
        <v/>
      </c>
      <c r="U1227" s="238"/>
      <c r="V1227" s="270" t="e">
        <f>IF(C1227="",NA(),MATCH($B1227&amp;$C1227,'Smelter Look-up'!$J:$J,0))</f>
        <v>#N/A</v>
      </c>
      <c r="W1227" s="271"/>
      <c r="X1227" s="271">
        <f t="shared" ca="1" si="193"/>
        <v>0</v>
      </c>
      <c r="Y1227" s="271"/>
      <c r="Z1227" s="271"/>
      <c r="AB1227" s="273" t="str">
        <f t="shared" si="194"/>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92"/>
        <v/>
      </c>
      <c r="T1228" s="222" t="str">
        <f ca="1">IF(B1228="","",IF(ISERROR(MATCH($J1228,SorP!$B$1:$B$6230,0)),"",INDIRECT("'SorP'!$A$"&amp;MATCH($J1228,SorP!$B$1:$B$6230,0))))</f>
        <v/>
      </c>
      <c r="U1228" s="238"/>
      <c r="V1228" s="270" t="e">
        <f>IF(C1228="",NA(),MATCH($B1228&amp;$C1228,'Smelter Look-up'!$J:$J,0))</f>
        <v>#N/A</v>
      </c>
      <c r="W1228" s="271"/>
      <c r="X1228" s="271">
        <f t="shared" ca="1" si="193"/>
        <v>0</v>
      </c>
      <c r="Y1228" s="271"/>
      <c r="Z1228" s="271"/>
      <c r="AB1228" s="273" t="str">
        <f t="shared" si="194"/>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92"/>
        <v/>
      </c>
      <c r="T1229" s="222" t="str">
        <f ca="1">IF(B1229="","",IF(ISERROR(MATCH($J1229,SorP!$B$1:$B$6230,0)),"",INDIRECT("'SorP'!$A$"&amp;MATCH($J1229,SorP!$B$1:$B$6230,0))))</f>
        <v/>
      </c>
      <c r="U1229" s="238"/>
      <c r="V1229" s="270" t="e">
        <f>IF(C1229="",NA(),MATCH($B1229&amp;$C1229,'Smelter Look-up'!$J:$J,0))</f>
        <v>#N/A</v>
      </c>
      <c r="W1229" s="271"/>
      <c r="X1229" s="271">
        <f t="shared" ca="1" si="193"/>
        <v>0</v>
      </c>
      <c r="Y1229" s="271"/>
      <c r="Z1229" s="271"/>
      <c r="AB1229" s="273" t="str">
        <f t="shared" si="194"/>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92"/>
        <v/>
      </c>
      <c r="T1230" s="222" t="str">
        <f ca="1">IF(B1230="","",IF(ISERROR(MATCH($J1230,SorP!$B$1:$B$6230,0)),"",INDIRECT("'SorP'!$A$"&amp;MATCH($J1230,SorP!$B$1:$B$6230,0))))</f>
        <v/>
      </c>
      <c r="U1230" s="238"/>
      <c r="V1230" s="270" t="e">
        <f>IF(C1230="",NA(),MATCH($B1230&amp;$C1230,'Smelter Look-up'!$J:$J,0))</f>
        <v>#N/A</v>
      </c>
      <c r="W1230" s="271"/>
      <c r="X1230" s="271">
        <f t="shared" ca="1" si="193"/>
        <v>0</v>
      </c>
      <c r="Y1230" s="271"/>
      <c r="Z1230" s="271"/>
      <c r="AB1230" s="273" t="str">
        <f t="shared" si="194"/>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92"/>
        <v/>
      </c>
      <c r="T1231" s="222" t="str">
        <f ca="1">IF(B1231="","",IF(ISERROR(MATCH($J1231,SorP!$B$1:$B$6230,0)),"",INDIRECT("'SorP'!$A$"&amp;MATCH($J1231,SorP!$B$1:$B$6230,0))))</f>
        <v/>
      </c>
      <c r="U1231" s="238"/>
      <c r="V1231" s="270" t="e">
        <f>IF(C1231="",NA(),MATCH($B1231&amp;$C1231,'Smelter Look-up'!$J:$J,0))</f>
        <v>#N/A</v>
      </c>
      <c r="W1231" s="271"/>
      <c r="X1231" s="271">
        <f t="shared" ca="1" si="193"/>
        <v>0</v>
      </c>
      <c r="Y1231" s="271"/>
      <c r="Z1231" s="271"/>
      <c r="AB1231" s="273" t="str">
        <f t="shared" si="194"/>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92"/>
        <v/>
      </c>
      <c r="T1232" s="222" t="str">
        <f ca="1">IF(B1232="","",IF(ISERROR(MATCH($J1232,SorP!$B$1:$B$6230,0)),"",INDIRECT("'SorP'!$A$"&amp;MATCH($J1232,SorP!$B$1:$B$6230,0))))</f>
        <v/>
      </c>
      <c r="U1232" s="238"/>
      <c r="V1232" s="270" t="e">
        <f>IF(C1232="",NA(),MATCH($B1232&amp;$C1232,'Smelter Look-up'!$J:$J,0))</f>
        <v>#N/A</v>
      </c>
      <c r="W1232" s="271"/>
      <c r="X1232" s="271">
        <f t="shared" ca="1" si="193"/>
        <v>0</v>
      </c>
      <c r="Y1232" s="271"/>
      <c r="Z1232" s="271"/>
      <c r="AB1232" s="273" t="str">
        <f t="shared" si="194"/>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92"/>
        <v/>
      </c>
      <c r="T1233" s="222" t="str">
        <f ca="1">IF(B1233="","",IF(ISERROR(MATCH($J1233,SorP!$B$1:$B$6230,0)),"",INDIRECT("'SorP'!$A$"&amp;MATCH($J1233,SorP!$B$1:$B$6230,0))))</f>
        <v/>
      </c>
      <c r="U1233" s="238"/>
      <c r="V1233" s="270" t="e">
        <f>IF(C1233="",NA(),MATCH($B1233&amp;$C1233,'Smelter Look-up'!$J:$J,0))</f>
        <v>#N/A</v>
      </c>
      <c r="W1233" s="271"/>
      <c r="X1233" s="271">
        <f t="shared" ca="1" si="193"/>
        <v>0</v>
      </c>
      <c r="Y1233" s="271"/>
      <c r="Z1233" s="271"/>
      <c r="AB1233" s="273" t="str">
        <f t="shared" si="194"/>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92"/>
        <v/>
      </c>
      <c r="T1234" s="222" t="str">
        <f ca="1">IF(B1234="","",IF(ISERROR(MATCH($J1234,SorP!$B$1:$B$6230,0)),"",INDIRECT("'SorP'!$A$"&amp;MATCH($J1234,SorP!$B$1:$B$6230,0))))</f>
        <v/>
      </c>
      <c r="U1234" s="238"/>
      <c r="V1234" s="270" t="e">
        <f>IF(C1234="",NA(),MATCH($B1234&amp;$C1234,'Smelter Look-up'!$J:$J,0))</f>
        <v>#N/A</v>
      </c>
      <c r="W1234" s="271"/>
      <c r="X1234" s="271">
        <f t="shared" ca="1" si="193"/>
        <v>0</v>
      </c>
      <c r="Y1234" s="271"/>
      <c r="Z1234" s="271"/>
      <c r="AB1234" s="273" t="str">
        <f t="shared" si="194"/>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92"/>
        <v/>
      </c>
      <c r="T1235" s="222" t="str">
        <f ca="1">IF(B1235="","",IF(ISERROR(MATCH($J1235,SorP!$B$1:$B$6230,0)),"",INDIRECT("'SorP'!$A$"&amp;MATCH($J1235,SorP!$B$1:$B$6230,0))))</f>
        <v/>
      </c>
      <c r="U1235" s="238"/>
      <c r="V1235" s="270" t="e">
        <f>IF(C1235="",NA(),MATCH($B1235&amp;$C1235,'Smelter Look-up'!$J:$J,0))</f>
        <v>#N/A</v>
      </c>
      <c r="W1235" s="271"/>
      <c r="X1235" s="271">
        <f t="shared" ca="1" si="193"/>
        <v>0</v>
      </c>
      <c r="Y1235" s="271"/>
      <c r="Z1235" s="271"/>
      <c r="AB1235" s="273" t="str">
        <f t="shared" si="194"/>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92"/>
        <v/>
      </c>
      <c r="T1236" s="222" t="str">
        <f ca="1">IF(B1236="","",IF(ISERROR(MATCH($J1236,SorP!$B$1:$B$6230,0)),"",INDIRECT("'SorP'!$A$"&amp;MATCH($J1236,SorP!$B$1:$B$6230,0))))</f>
        <v/>
      </c>
      <c r="U1236" s="238"/>
      <c r="V1236" s="270" t="e">
        <f>IF(C1236="",NA(),MATCH($B1236&amp;$C1236,'Smelter Look-up'!$J:$J,0))</f>
        <v>#N/A</v>
      </c>
      <c r="W1236" s="271"/>
      <c r="X1236" s="271">
        <f t="shared" ca="1" si="193"/>
        <v>0</v>
      </c>
      <c r="Y1236" s="271"/>
      <c r="Z1236" s="271"/>
      <c r="AB1236" s="273" t="str">
        <f t="shared" si="194"/>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92"/>
        <v/>
      </c>
      <c r="T1237" s="222" t="str">
        <f ca="1">IF(B1237="","",IF(ISERROR(MATCH($J1237,SorP!$B$1:$B$6230,0)),"",INDIRECT("'SorP'!$A$"&amp;MATCH($J1237,SorP!$B$1:$B$6230,0))))</f>
        <v/>
      </c>
      <c r="U1237" s="238"/>
      <c r="V1237" s="270" t="e">
        <f>IF(C1237="",NA(),MATCH($B1237&amp;$C1237,'Smelter Look-up'!$J:$J,0))</f>
        <v>#N/A</v>
      </c>
      <c r="W1237" s="271"/>
      <c r="X1237" s="271">
        <f t="shared" ca="1" si="193"/>
        <v>0</v>
      </c>
      <c r="Y1237" s="271"/>
      <c r="Z1237" s="271"/>
      <c r="AB1237" s="273" t="str">
        <f t="shared" si="194"/>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92"/>
        <v/>
      </c>
      <c r="T1238" s="222" t="str">
        <f ca="1">IF(B1238="","",IF(ISERROR(MATCH($J1238,SorP!$B$1:$B$6230,0)),"",INDIRECT("'SorP'!$A$"&amp;MATCH($J1238,SorP!$B$1:$B$6230,0))))</f>
        <v/>
      </c>
      <c r="U1238" s="238"/>
      <c r="V1238" s="270" t="e">
        <f>IF(C1238="",NA(),MATCH($B1238&amp;$C1238,'Smelter Look-up'!$J:$J,0))</f>
        <v>#N/A</v>
      </c>
      <c r="W1238" s="271"/>
      <c r="X1238" s="271">
        <f t="shared" ca="1" si="193"/>
        <v>0</v>
      </c>
      <c r="Y1238" s="271"/>
      <c r="Z1238" s="271"/>
      <c r="AB1238" s="273" t="str">
        <f t="shared" si="194"/>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92"/>
        <v/>
      </c>
      <c r="T1239" s="222" t="str">
        <f ca="1">IF(B1239="","",IF(ISERROR(MATCH($J1239,SorP!$B$1:$B$6230,0)),"",INDIRECT("'SorP'!$A$"&amp;MATCH($J1239,SorP!$B$1:$B$6230,0))))</f>
        <v/>
      </c>
      <c r="U1239" s="238"/>
      <c r="V1239" s="270" t="e">
        <f>IF(C1239="",NA(),MATCH($B1239&amp;$C1239,'Smelter Look-up'!$J:$J,0))</f>
        <v>#N/A</v>
      </c>
      <c r="W1239" s="271"/>
      <c r="X1239" s="271">
        <f t="shared" ca="1" si="193"/>
        <v>0</v>
      </c>
      <c r="Y1239" s="271"/>
      <c r="Z1239" s="271"/>
      <c r="AB1239" s="273" t="str">
        <f t="shared" si="194"/>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ref="S1240" ca="1" si="195">IF(B1240="","",IF(ISERROR(MATCH($E1240,CL,0)),"Unknown",INDIRECT("'C'!$A$"&amp;MATCH($E1240,CL,0)+1)))</f>
        <v/>
      </c>
      <c r="T1240" s="222" t="str">
        <f ca="1">IF(B1240="","",IF(ISERROR(MATCH($J1240,SorP!$B$1:$B$6230,0)),"",INDIRECT("'SorP'!$A$"&amp;MATCH($J1240,SorP!$B$1:$B$6230,0))))</f>
        <v/>
      </c>
      <c r="U1240" s="238"/>
      <c r="V1240" s="270" t="e">
        <f>IF(C1240="",NA(),MATCH($B1240&amp;$C1240,'Smelter Look-up'!$J:$J,0))</f>
        <v>#N/A</v>
      </c>
      <c r="W1240" s="271"/>
      <c r="X1240" s="271">
        <f t="shared" ref="X1240" ca="1" si="196">IF(AND(C1240="Smelter not listed",OR(LEN(D1240)=0,LEN(E1240)=0)),1,0)</f>
        <v>0</v>
      </c>
      <c r="Y1240" s="271"/>
      <c r="Z1240" s="271"/>
      <c r="AB1240" s="273" t="str">
        <f t="shared" ref="AB1240" si="197">B1240&amp;C1240</f>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ref="S1241:S1272" ca="1" si="198">IF(B1241="","",IF(ISERROR(MATCH($E1241,CL,0)),"Unknown",INDIRECT("'C'!$A$"&amp;MATCH($E1241,CL,0)+1)))</f>
        <v/>
      </c>
      <c r="T1241" s="222" t="str">
        <f ca="1">IF(B1241="","",IF(ISERROR(MATCH($J1241,SorP!$B$1:$B$6230,0)),"",INDIRECT("'SorP'!$A$"&amp;MATCH($J1241,SorP!$B$1:$B$6230,0))))</f>
        <v/>
      </c>
      <c r="U1241" s="238"/>
      <c r="V1241" s="270" t="e">
        <f>IF(C1241="",NA(),MATCH($B1241&amp;$C1241,'Smelter Look-up'!$J:$J,0))</f>
        <v>#N/A</v>
      </c>
      <c r="W1241" s="271"/>
      <c r="X1241" s="271">
        <f t="shared" ref="X1241:X1272" ca="1" si="199">IF(AND(C1241="Smelter not listed",OR(LEN(D1241)=0,LEN(E1241)=0)),1,0)</f>
        <v>0</v>
      </c>
      <c r="Y1241" s="271"/>
      <c r="Z1241" s="271"/>
      <c r="AB1241" s="273" t="str">
        <f t="shared" ref="AB1241:AB1272" si="200">B1241&amp;C1241</f>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98"/>
        <v/>
      </c>
      <c r="T1242" s="222" t="str">
        <f ca="1">IF(B1242="","",IF(ISERROR(MATCH($J1242,SorP!$B$1:$B$6230,0)),"",INDIRECT("'SorP'!$A$"&amp;MATCH($J1242,SorP!$B$1:$B$6230,0))))</f>
        <v/>
      </c>
      <c r="U1242" s="238"/>
      <c r="V1242" s="270" t="e">
        <f>IF(C1242="",NA(),MATCH($B1242&amp;$C1242,'Smelter Look-up'!$J:$J,0))</f>
        <v>#N/A</v>
      </c>
      <c r="W1242" s="271"/>
      <c r="X1242" s="271">
        <f t="shared" ca="1" si="199"/>
        <v>0</v>
      </c>
      <c r="Y1242" s="271"/>
      <c r="Z1242" s="271"/>
      <c r="AB1242" s="273" t="str">
        <f t="shared" si="200"/>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98"/>
        <v/>
      </c>
      <c r="T1243" s="222" t="str">
        <f ca="1">IF(B1243="","",IF(ISERROR(MATCH($J1243,SorP!$B$1:$B$6230,0)),"",INDIRECT("'SorP'!$A$"&amp;MATCH($J1243,SorP!$B$1:$B$6230,0))))</f>
        <v/>
      </c>
      <c r="U1243" s="238"/>
      <c r="V1243" s="270" t="e">
        <f>IF(C1243="",NA(),MATCH($B1243&amp;$C1243,'Smelter Look-up'!$J:$J,0))</f>
        <v>#N/A</v>
      </c>
      <c r="W1243" s="271"/>
      <c r="X1243" s="271">
        <f t="shared" ca="1" si="199"/>
        <v>0</v>
      </c>
      <c r="Y1243" s="271"/>
      <c r="Z1243" s="271"/>
      <c r="AB1243" s="273" t="str">
        <f t="shared" si="200"/>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ca="1" si="198"/>
        <v/>
      </c>
      <c r="T1244" s="222" t="str">
        <f ca="1">IF(B1244="","",IF(ISERROR(MATCH($J1244,SorP!$B$1:$B$6230,0)),"",INDIRECT("'SorP'!$A$"&amp;MATCH($J1244,SorP!$B$1:$B$6230,0))))</f>
        <v/>
      </c>
      <c r="U1244" s="238"/>
      <c r="V1244" s="270" t="e">
        <f>IF(C1244="",NA(),MATCH($B1244&amp;$C1244,'Smelter Look-up'!$J:$J,0))</f>
        <v>#N/A</v>
      </c>
      <c r="W1244" s="271"/>
      <c r="X1244" s="271">
        <f t="shared" ca="1" si="199"/>
        <v>0</v>
      </c>
      <c r="Y1244" s="271"/>
      <c r="Z1244" s="271"/>
      <c r="AB1244" s="273" t="str">
        <f t="shared" si="200"/>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98"/>
        <v/>
      </c>
      <c r="T1245" s="222" t="str">
        <f ca="1">IF(B1245="","",IF(ISERROR(MATCH($J1245,SorP!$B$1:$B$6230,0)),"",INDIRECT("'SorP'!$A$"&amp;MATCH($J1245,SorP!$B$1:$B$6230,0))))</f>
        <v/>
      </c>
      <c r="U1245" s="238"/>
      <c r="V1245" s="270" t="e">
        <f>IF(C1245="",NA(),MATCH($B1245&amp;$C1245,'Smelter Look-up'!$J:$J,0))</f>
        <v>#N/A</v>
      </c>
      <c r="W1245" s="271"/>
      <c r="X1245" s="271">
        <f t="shared" ca="1" si="199"/>
        <v>0</v>
      </c>
      <c r="Y1245" s="271"/>
      <c r="Z1245" s="271"/>
      <c r="AB1245" s="273" t="str">
        <f t="shared" si="200"/>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98"/>
        <v/>
      </c>
      <c r="T1246" s="222" t="str">
        <f ca="1">IF(B1246="","",IF(ISERROR(MATCH($J1246,SorP!$B$1:$B$6230,0)),"",INDIRECT("'SorP'!$A$"&amp;MATCH($J1246,SorP!$B$1:$B$6230,0))))</f>
        <v/>
      </c>
      <c r="U1246" s="238"/>
      <c r="V1246" s="270" t="e">
        <f>IF(C1246="",NA(),MATCH($B1246&amp;$C1246,'Smelter Look-up'!$J:$J,0))</f>
        <v>#N/A</v>
      </c>
      <c r="W1246" s="271"/>
      <c r="X1246" s="271">
        <f t="shared" ca="1" si="199"/>
        <v>0</v>
      </c>
      <c r="Y1246" s="271"/>
      <c r="Z1246" s="271"/>
      <c r="AB1246" s="273" t="str">
        <f t="shared" si="200"/>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98"/>
        <v/>
      </c>
      <c r="T1247" s="222" t="str">
        <f ca="1">IF(B1247="","",IF(ISERROR(MATCH($J1247,SorP!$B$1:$B$6230,0)),"",INDIRECT("'SorP'!$A$"&amp;MATCH($J1247,SorP!$B$1:$B$6230,0))))</f>
        <v/>
      </c>
      <c r="U1247" s="238"/>
      <c r="V1247" s="270" t="e">
        <f>IF(C1247="",NA(),MATCH($B1247&amp;$C1247,'Smelter Look-up'!$J:$J,0))</f>
        <v>#N/A</v>
      </c>
      <c r="W1247" s="271"/>
      <c r="X1247" s="271">
        <f t="shared" ca="1" si="199"/>
        <v>0</v>
      </c>
      <c r="Y1247" s="271"/>
      <c r="Z1247" s="271"/>
      <c r="AB1247" s="273" t="str">
        <f t="shared" si="200"/>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98"/>
        <v/>
      </c>
      <c r="T1248" s="222" t="str">
        <f ca="1">IF(B1248="","",IF(ISERROR(MATCH($J1248,SorP!$B$1:$B$6230,0)),"",INDIRECT("'SorP'!$A$"&amp;MATCH($J1248,SorP!$B$1:$B$6230,0))))</f>
        <v/>
      </c>
      <c r="U1248" s="238"/>
      <c r="V1248" s="270" t="e">
        <f>IF(C1248="",NA(),MATCH($B1248&amp;$C1248,'Smelter Look-up'!$J:$J,0))</f>
        <v>#N/A</v>
      </c>
      <c r="W1248" s="271"/>
      <c r="X1248" s="271">
        <f t="shared" ca="1" si="199"/>
        <v>0</v>
      </c>
      <c r="Y1248" s="271"/>
      <c r="Z1248" s="271"/>
      <c r="AB1248" s="273" t="str">
        <f t="shared" si="200"/>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98"/>
        <v/>
      </c>
      <c r="T1249" s="222" t="str">
        <f ca="1">IF(B1249="","",IF(ISERROR(MATCH($J1249,SorP!$B$1:$B$6230,0)),"",INDIRECT("'SorP'!$A$"&amp;MATCH($J1249,SorP!$B$1:$B$6230,0))))</f>
        <v/>
      </c>
      <c r="U1249" s="238"/>
      <c r="V1249" s="270" t="e">
        <f>IF(C1249="",NA(),MATCH($B1249&amp;$C1249,'Smelter Look-up'!$J:$J,0))</f>
        <v>#N/A</v>
      </c>
      <c r="W1249" s="271"/>
      <c r="X1249" s="271">
        <f t="shared" ca="1" si="199"/>
        <v>0</v>
      </c>
      <c r="Y1249" s="271"/>
      <c r="Z1249" s="271"/>
      <c r="AB1249" s="273" t="str">
        <f t="shared" si="200"/>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98"/>
        <v/>
      </c>
      <c r="T1250" s="222" t="str">
        <f ca="1">IF(B1250="","",IF(ISERROR(MATCH($J1250,SorP!$B$1:$B$6230,0)),"",INDIRECT("'SorP'!$A$"&amp;MATCH($J1250,SorP!$B$1:$B$6230,0))))</f>
        <v/>
      </c>
      <c r="U1250" s="238"/>
      <c r="V1250" s="270" t="e">
        <f>IF(C1250="",NA(),MATCH($B1250&amp;$C1250,'Smelter Look-up'!$J:$J,0))</f>
        <v>#N/A</v>
      </c>
      <c r="W1250" s="271"/>
      <c r="X1250" s="271">
        <f t="shared" ca="1" si="199"/>
        <v>0</v>
      </c>
      <c r="Y1250" s="271"/>
      <c r="Z1250" s="271"/>
      <c r="AB1250" s="273" t="str">
        <f t="shared" si="200"/>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98"/>
        <v/>
      </c>
      <c r="T1251" s="222" t="str">
        <f ca="1">IF(B1251="","",IF(ISERROR(MATCH($J1251,SorP!$B$1:$B$6230,0)),"",INDIRECT("'SorP'!$A$"&amp;MATCH($J1251,SorP!$B$1:$B$6230,0))))</f>
        <v/>
      </c>
      <c r="U1251" s="238"/>
      <c r="V1251" s="270" t="e">
        <f>IF(C1251="",NA(),MATCH($B1251&amp;$C1251,'Smelter Look-up'!$J:$J,0))</f>
        <v>#N/A</v>
      </c>
      <c r="W1251" s="271"/>
      <c r="X1251" s="271">
        <f t="shared" ca="1" si="199"/>
        <v>0</v>
      </c>
      <c r="Y1251" s="271"/>
      <c r="Z1251" s="271"/>
      <c r="AB1251" s="273" t="str">
        <f t="shared" si="200"/>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98"/>
        <v/>
      </c>
      <c r="T1252" s="222" t="str">
        <f ca="1">IF(B1252="","",IF(ISERROR(MATCH($J1252,SorP!$B$1:$B$6230,0)),"",INDIRECT("'SorP'!$A$"&amp;MATCH($J1252,SorP!$B$1:$B$6230,0))))</f>
        <v/>
      </c>
      <c r="U1252" s="238"/>
      <c r="V1252" s="270" t="e">
        <f>IF(C1252="",NA(),MATCH($B1252&amp;$C1252,'Smelter Look-up'!$J:$J,0))</f>
        <v>#N/A</v>
      </c>
      <c r="W1252" s="271"/>
      <c r="X1252" s="271">
        <f t="shared" ca="1" si="199"/>
        <v>0</v>
      </c>
      <c r="Y1252" s="271"/>
      <c r="Z1252" s="271"/>
      <c r="AB1252" s="273" t="str">
        <f t="shared" si="200"/>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98"/>
        <v/>
      </c>
      <c r="T1253" s="222" t="str">
        <f ca="1">IF(B1253="","",IF(ISERROR(MATCH($J1253,SorP!$B$1:$B$6230,0)),"",INDIRECT("'SorP'!$A$"&amp;MATCH($J1253,SorP!$B$1:$B$6230,0))))</f>
        <v/>
      </c>
      <c r="U1253" s="238"/>
      <c r="V1253" s="270" t="e">
        <f>IF(C1253="",NA(),MATCH($B1253&amp;$C1253,'Smelter Look-up'!$J:$J,0))</f>
        <v>#N/A</v>
      </c>
      <c r="W1253" s="271"/>
      <c r="X1253" s="271">
        <f t="shared" ca="1" si="199"/>
        <v>0</v>
      </c>
      <c r="Y1253" s="271"/>
      <c r="Z1253" s="271"/>
      <c r="AB1253" s="273" t="str">
        <f t="shared" si="200"/>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98"/>
        <v/>
      </c>
      <c r="T1254" s="222" t="str">
        <f ca="1">IF(B1254="","",IF(ISERROR(MATCH($J1254,SorP!$B$1:$B$6230,0)),"",INDIRECT("'SorP'!$A$"&amp;MATCH($J1254,SorP!$B$1:$B$6230,0))))</f>
        <v/>
      </c>
      <c r="U1254" s="238"/>
      <c r="V1254" s="270" t="e">
        <f>IF(C1254="",NA(),MATCH($B1254&amp;$C1254,'Smelter Look-up'!$J:$J,0))</f>
        <v>#N/A</v>
      </c>
      <c r="W1254" s="271"/>
      <c r="X1254" s="271">
        <f t="shared" ca="1" si="199"/>
        <v>0</v>
      </c>
      <c r="Y1254" s="271"/>
      <c r="Z1254" s="271"/>
      <c r="AB1254" s="273" t="str">
        <f t="shared" si="200"/>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98"/>
        <v/>
      </c>
      <c r="T1255" s="222" t="str">
        <f ca="1">IF(B1255="","",IF(ISERROR(MATCH($J1255,SorP!$B$1:$B$6230,0)),"",INDIRECT("'SorP'!$A$"&amp;MATCH($J1255,SorP!$B$1:$B$6230,0))))</f>
        <v/>
      </c>
      <c r="U1255" s="238"/>
      <c r="V1255" s="270" t="e">
        <f>IF(C1255="",NA(),MATCH($B1255&amp;$C1255,'Smelter Look-up'!$J:$J,0))</f>
        <v>#N/A</v>
      </c>
      <c r="W1255" s="271"/>
      <c r="X1255" s="271">
        <f t="shared" ca="1" si="199"/>
        <v>0</v>
      </c>
      <c r="Y1255" s="271"/>
      <c r="Z1255" s="271"/>
      <c r="AB1255" s="273" t="str">
        <f t="shared" si="200"/>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98"/>
        <v/>
      </c>
      <c r="T1256" s="222" t="str">
        <f ca="1">IF(B1256="","",IF(ISERROR(MATCH($J1256,SorP!$B$1:$B$6230,0)),"",INDIRECT("'SorP'!$A$"&amp;MATCH($J1256,SorP!$B$1:$B$6230,0))))</f>
        <v/>
      </c>
      <c r="U1256" s="238"/>
      <c r="V1256" s="270" t="e">
        <f>IF(C1256="",NA(),MATCH($B1256&amp;$C1256,'Smelter Look-up'!$J:$J,0))</f>
        <v>#N/A</v>
      </c>
      <c r="W1256" s="271"/>
      <c r="X1256" s="271">
        <f t="shared" ca="1" si="199"/>
        <v>0</v>
      </c>
      <c r="Y1256" s="271"/>
      <c r="Z1256" s="271"/>
      <c r="AB1256" s="273" t="str">
        <f t="shared" si="200"/>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98"/>
        <v/>
      </c>
      <c r="T1257" s="222" t="str">
        <f ca="1">IF(B1257="","",IF(ISERROR(MATCH($J1257,SorP!$B$1:$B$6230,0)),"",INDIRECT("'SorP'!$A$"&amp;MATCH($J1257,SorP!$B$1:$B$6230,0))))</f>
        <v/>
      </c>
      <c r="U1257" s="238"/>
      <c r="V1257" s="270" t="e">
        <f>IF(C1257="",NA(),MATCH($B1257&amp;$C1257,'Smelter Look-up'!$J:$J,0))</f>
        <v>#N/A</v>
      </c>
      <c r="W1257" s="271"/>
      <c r="X1257" s="271">
        <f t="shared" ca="1" si="199"/>
        <v>0</v>
      </c>
      <c r="Y1257" s="271"/>
      <c r="Z1257" s="271"/>
      <c r="AB1257" s="273" t="str">
        <f t="shared" si="200"/>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98"/>
        <v/>
      </c>
      <c r="T1258" s="222" t="str">
        <f ca="1">IF(B1258="","",IF(ISERROR(MATCH($J1258,SorP!$B$1:$B$6230,0)),"",INDIRECT("'SorP'!$A$"&amp;MATCH($J1258,SorP!$B$1:$B$6230,0))))</f>
        <v/>
      </c>
      <c r="U1258" s="238"/>
      <c r="V1258" s="270" t="e">
        <f>IF(C1258="",NA(),MATCH($B1258&amp;$C1258,'Smelter Look-up'!$J:$J,0))</f>
        <v>#N/A</v>
      </c>
      <c r="W1258" s="271"/>
      <c r="X1258" s="271">
        <f t="shared" ca="1" si="199"/>
        <v>0</v>
      </c>
      <c r="Y1258" s="271"/>
      <c r="Z1258" s="271"/>
      <c r="AB1258" s="273" t="str">
        <f t="shared" si="200"/>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98"/>
        <v/>
      </c>
      <c r="T1259" s="222" t="str">
        <f ca="1">IF(B1259="","",IF(ISERROR(MATCH($J1259,SorP!$B$1:$B$6230,0)),"",INDIRECT("'SorP'!$A$"&amp;MATCH($J1259,SorP!$B$1:$B$6230,0))))</f>
        <v/>
      </c>
      <c r="U1259" s="238"/>
      <c r="V1259" s="270" t="e">
        <f>IF(C1259="",NA(),MATCH($B1259&amp;$C1259,'Smelter Look-up'!$J:$J,0))</f>
        <v>#N/A</v>
      </c>
      <c r="W1259" s="271"/>
      <c r="X1259" s="271">
        <f t="shared" ca="1" si="199"/>
        <v>0</v>
      </c>
      <c r="Y1259" s="271"/>
      <c r="Z1259" s="271"/>
      <c r="AB1259" s="273" t="str">
        <f t="shared" si="200"/>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98"/>
        <v/>
      </c>
      <c r="T1260" s="222" t="str">
        <f ca="1">IF(B1260="","",IF(ISERROR(MATCH($J1260,SorP!$B$1:$B$6230,0)),"",INDIRECT("'SorP'!$A$"&amp;MATCH($J1260,SorP!$B$1:$B$6230,0))))</f>
        <v/>
      </c>
      <c r="U1260" s="238"/>
      <c r="V1260" s="270" t="e">
        <f>IF(C1260="",NA(),MATCH($B1260&amp;$C1260,'Smelter Look-up'!$J:$J,0))</f>
        <v>#N/A</v>
      </c>
      <c r="W1260" s="271"/>
      <c r="X1260" s="271">
        <f t="shared" ca="1" si="199"/>
        <v>0</v>
      </c>
      <c r="Y1260" s="271"/>
      <c r="Z1260" s="271"/>
      <c r="AB1260" s="273" t="str">
        <f t="shared" si="200"/>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98"/>
        <v/>
      </c>
      <c r="T1261" s="222" t="str">
        <f ca="1">IF(B1261="","",IF(ISERROR(MATCH($J1261,SorP!$B$1:$B$6230,0)),"",INDIRECT("'SorP'!$A$"&amp;MATCH($J1261,SorP!$B$1:$B$6230,0))))</f>
        <v/>
      </c>
      <c r="U1261" s="238"/>
      <c r="V1261" s="270" t="e">
        <f>IF(C1261="",NA(),MATCH($B1261&amp;$C1261,'Smelter Look-up'!$J:$J,0))</f>
        <v>#N/A</v>
      </c>
      <c r="W1261" s="271"/>
      <c r="X1261" s="271">
        <f t="shared" ca="1" si="199"/>
        <v>0</v>
      </c>
      <c r="Y1261" s="271"/>
      <c r="Z1261" s="271"/>
      <c r="AB1261" s="273" t="str">
        <f t="shared" si="200"/>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98"/>
        <v/>
      </c>
      <c r="T1262" s="222" t="str">
        <f ca="1">IF(B1262="","",IF(ISERROR(MATCH($J1262,SorP!$B$1:$B$6230,0)),"",INDIRECT("'SorP'!$A$"&amp;MATCH($J1262,SorP!$B$1:$B$6230,0))))</f>
        <v/>
      </c>
      <c r="U1262" s="238"/>
      <c r="V1262" s="270" t="e">
        <f>IF(C1262="",NA(),MATCH($B1262&amp;$C1262,'Smelter Look-up'!$J:$J,0))</f>
        <v>#N/A</v>
      </c>
      <c r="W1262" s="271"/>
      <c r="X1262" s="271">
        <f t="shared" ca="1" si="199"/>
        <v>0</v>
      </c>
      <c r="Y1262" s="271"/>
      <c r="Z1262" s="271"/>
      <c r="AB1262" s="273" t="str">
        <f t="shared" si="200"/>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98"/>
        <v/>
      </c>
      <c r="T1263" s="222" t="str">
        <f ca="1">IF(B1263="","",IF(ISERROR(MATCH($J1263,SorP!$B$1:$B$6230,0)),"",INDIRECT("'SorP'!$A$"&amp;MATCH($J1263,SorP!$B$1:$B$6230,0))))</f>
        <v/>
      </c>
      <c r="U1263" s="238"/>
      <c r="V1263" s="270" t="e">
        <f>IF(C1263="",NA(),MATCH($B1263&amp;$C1263,'Smelter Look-up'!$J:$J,0))</f>
        <v>#N/A</v>
      </c>
      <c r="W1263" s="271"/>
      <c r="X1263" s="271">
        <f t="shared" ca="1" si="199"/>
        <v>0</v>
      </c>
      <c r="Y1263" s="271"/>
      <c r="Z1263" s="271"/>
      <c r="AB1263" s="273" t="str">
        <f t="shared" si="200"/>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98"/>
        <v/>
      </c>
      <c r="T1264" s="222" t="str">
        <f ca="1">IF(B1264="","",IF(ISERROR(MATCH($J1264,SorP!$B$1:$B$6230,0)),"",INDIRECT("'SorP'!$A$"&amp;MATCH($J1264,SorP!$B$1:$B$6230,0))))</f>
        <v/>
      </c>
      <c r="U1264" s="238"/>
      <c r="V1264" s="270" t="e">
        <f>IF(C1264="",NA(),MATCH($B1264&amp;$C1264,'Smelter Look-up'!$J:$J,0))</f>
        <v>#N/A</v>
      </c>
      <c r="W1264" s="271"/>
      <c r="X1264" s="271">
        <f t="shared" ca="1" si="199"/>
        <v>0</v>
      </c>
      <c r="Y1264" s="271"/>
      <c r="Z1264" s="271"/>
      <c r="AB1264" s="273" t="str">
        <f t="shared" si="200"/>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98"/>
        <v/>
      </c>
      <c r="T1265" s="222" t="str">
        <f ca="1">IF(B1265="","",IF(ISERROR(MATCH($J1265,SorP!$B$1:$B$6230,0)),"",INDIRECT("'SorP'!$A$"&amp;MATCH($J1265,SorP!$B$1:$B$6230,0))))</f>
        <v/>
      </c>
      <c r="U1265" s="238"/>
      <c r="V1265" s="270" t="e">
        <f>IF(C1265="",NA(),MATCH($B1265&amp;$C1265,'Smelter Look-up'!$J:$J,0))</f>
        <v>#N/A</v>
      </c>
      <c r="W1265" s="271"/>
      <c r="X1265" s="271">
        <f t="shared" ca="1" si="199"/>
        <v>0</v>
      </c>
      <c r="Y1265" s="271"/>
      <c r="Z1265" s="271"/>
      <c r="AB1265" s="273" t="str">
        <f t="shared" si="200"/>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98"/>
        <v/>
      </c>
      <c r="T1266" s="222" t="str">
        <f ca="1">IF(B1266="","",IF(ISERROR(MATCH($J1266,SorP!$B$1:$B$6230,0)),"",INDIRECT("'SorP'!$A$"&amp;MATCH($J1266,SorP!$B$1:$B$6230,0))))</f>
        <v/>
      </c>
      <c r="U1266" s="238"/>
      <c r="V1266" s="270" t="e">
        <f>IF(C1266="",NA(),MATCH($B1266&amp;$C1266,'Smelter Look-up'!$J:$J,0))</f>
        <v>#N/A</v>
      </c>
      <c r="W1266" s="271"/>
      <c r="X1266" s="271">
        <f t="shared" ca="1" si="199"/>
        <v>0</v>
      </c>
      <c r="Y1266" s="271"/>
      <c r="Z1266" s="271"/>
      <c r="AB1266" s="273" t="str">
        <f t="shared" si="200"/>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98"/>
        <v/>
      </c>
      <c r="T1267" s="222" t="str">
        <f ca="1">IF(B1267="","",IF(ISERROR(MATCH($J1267,SorP!$B$1:$B$6230,0)),"",INDIRECT("'SorP'!$A$"&amp;MATCH($J1267,SorP!$B$1:$B$6230,0))))</f>
        <v/>
      </c>
      <c r="U1267" s="238"/>
      <c r="V1267" s="270" t="e">
        <f>IF(C1267="",NA(),MATCH($B1267&amp;$C1267,'Smelter Look-up'!$J:$J,0))</f>
        <v>#N/A</v>
      </c>
      <c r="W1267" s="271"/>
      <c r="X1267" s="271">
        <f t="shared" ca="1" si="199"/>
        <v>0</v>
      </c>
      <c r="Y1267" s="271"/>
      <c r="Z1267" s="271"/>
      <c r="AB1267" s="273" t="str">
        <f t="shared" si="200"/>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98"/>
        <v/>
      </c>
      <c r="T1268" s="222" t="str">
        <f ca="1">IF(B1268="","",IF(ISERROR(MATCH($J1268,SorP!$B$1:$B$6230,0)),"",INDIRECT("'SorP'!$A$"&amp;MATCH($J1268,SorP!$B$1:$B$6230,0))))</f>
        <v/>
      </c>
      <c r="U1268" s="238"/>
      <c r="V1268" s="270" t="e">
        <f>IF(C1268="",NA(),MATCH($B1268&amp;$C1268,'Smelter Look-up'!$J:$J,0))</f>
        <v>#N/A</v>
      </c>
      <c r="W1268" s="271"/>
      <c r="X1268" s="271">
        <f t="shared" ca="1" si="199"/>
        <v>0</v>
      </c>
      <c r="Y1268" s="271"/>
      <c r="Z1268" s="271"/>
      <c r="AB1268" s="273" t="str">
        <f t="shared" si="200"/>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98"/>
        <v/>
      </c>
      <c r="T1269" s="222" t="str">
        <f ca="1">IF(B1269="","",IF(ISERROR(MATCH($J1269,SorP!$B$1:$B$6230,0)),"",INDIRECT("'SorP'!$A$"&amp;MATCH($J1269,SorP!$B$1:$B$6230,0))))</f>
        <v/>
      </c>
      <c r="U1269" s="238"/>
      <c r="V1269" s="270" t="e">
        <f>IF(C1269="",NA(),MATCH($B1269&amp;$C1269,'Smelter Look-up'!$J:$J,0))</f>
        <v>#N/A</v>
      </c>
      <c r="W1269" s="271"/>
      <c r="X1269" s="271">
        <f t="shared" ca="1" si="199"/>
        <v>0</v>
      </c>
      <c r="Y1269" s="271"/>
      <c r="Z1269" s="271"/>
      <c r="AB1269" s="273" t="str">
        <f t="shared" si="200"/>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98"/>
        <v/>
      </c>
      <c r="T1270" s="222" t="str">
        <f ca="1">IF(B1270="","",IF(ISERROR(MATCH($J1270,SorP!$B$1:$B$6230,0)),"",INDIRECT("'SorP'!$A$"&amp;MATCH($J1270,SorP!$B$1:$B$6230,0))))</f>
        <v/>
      </c>
      <c r="U1270" s="238"/>
      <c r="V1270" s="270" t="e">
        <f>IF(C1270="",NA(),MATCH($B1270&amp;$C1270,'Smelter Look-up'!$J:$J,0))</f>
        <v>#N/A</v>
      </c>
      <c r="W1270" s="271"/>
      <c r="X1270" s="271">
        <f t="shared" ca="1" si="199"/>
        <v>0</v>
      </c>
      <c r="Y1270" s="271"/>
      <c r="Z1270" s="271"/>
      <c r="AB1270" s="273" t="str">
        <f t="shared" si="200"/>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98"/>
        <v/>
      </c>
      <c r="T1271" s="222" t="str">
        <f ca="1">IF(B1271="","",IF(ISERROR(MATCH($J1271,SorP!$B$1:$B$6230,0)),"",INDIRECT("'SorP'!$A$"&amp;MATCH($J1271,SorP!$B$1:$B$6230,0))))</f>
        <v/>
      </c>
      <c r="U1271" s="238"/>
      <c r="V1271" s="270" t="e">
        <f>IF(C1271="",NA(),MATCH($B1271&amp;$C1271,'Smelter Look-up'!$J:$J,0))</f>
        <v>#N/A</v>
      </c>
      <c r="W1271" s="271"/>
      <c r="X1271" s="271">
        <f t="shared" ca="1" si="199"/>
        <v>0</v>
      </c>
      <c r="Y1271" s="271"/>
      <c r="Z1271" s="271"/>
      <c r="AB1271" s="273" t="str">
        <f t="shared" si="200"/>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98"/>
        <v/>
      </c>
      <c r="T1272" s="222" t="str">
        <f ca="1">IF(B1272="","",IF(ISERROR(MATCH($J1272,SorP!$B$1:$B$6230,0)),"",INDIRECT("'SorP'!$A$"&amp;MATCH($J1272,SorP!$B$1:$B$6230,0))))</f>
        <v/>
      </c>
      <c r="U1272" s="238"/>
      <c r="V1272" s="270" t="e">
        <f>IF(C1272="",NA(),MATCH($B1272&amp;$C1272,'Smelter Look-up'!$J:$J,0))</f>
        <v>#N/A</v>
      </c>
      <c r="W1272" s="271"/>
      <c r="X1272" s="271">
        <f t="shared" ca="1" si="199"/>
        <v>0</v>
      </c>
      <c r="Y1272" s="271"/>
      <c r="Z1272" s="271"/>
      <c r="AB1272" s="273" t="str">
        <f t="shared" si="200"/>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ref="S1273:S1303" ca="1" si="201">IF(B1273="","",IF(ISERROR(MATCH($E1273,CL,0)),"Unknown",INDIRECT("'C'!$A$"&amp;MATCH($E1273,CL,0)+1)))</f>
        <v/>
      </c>
      <c r="T1273" s="222" t="str">
        <f ca="1">IF(B1273="","",IF(ISERROR(MATCH($J1273,SorP!$B$1:$B$6230,0)),"",INDIRECT("'SorP'!$A$"&amp;MATCH($J1273,SorP!$B$1:$B$6230,0))))</f>
        <v/>
      </c>
      <c r="U1273" s="238"/>
      <c r="V1273" s="270" t="e">
        <f>IF(C1273="",NA(),MATCH($B1273&amp;$C1273,'Smelter Look-up'!$J:$J,0))</f>
        <v>#N/A</v>
      </c>
      <c r="W1273" s="271"/>
      <c r="X1273" s="271">
        <f t="shared" ref="X1273:X1303" ca="1" si="202">IF(AND(C1273="Smelter not listed",OR(LEN(D1273)=0,LEN(E1273)=0)),1,0)</f>
        <v>0</v>
      </c>
      <c r="Y1273" s="271"/>
      <c r="Z1273" s="271"/>
      <c r="AB1273" s="273" t="str">
        <f t="shared" ref="AB1273:AB1303" si="203">B1273&amp;C1273</f>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201"/>
        <v/>
      </c>
      <c r="T1274" s="222" t="str">
        <f ca="1">IF(B1274="","",IF(ISERROR(MATCH($J1274,SorP!$B$1:$B$6230,0)),"",INDIRECT("'SorP'!$A$"&amp;MATCH($J1274,SorP!$B$1:$B$6230,0))))</f>
        <v/>
      </c>
      <c r="U1274" s="238"/>
      <c r="V1274" s="270" t="e">
        <f>IF(C1274="",NA(),MATCH($B1274&amp;$C1274,'Smelter Look-up'!$J:$J,0))</f>
        <v>#N/A</v>
      </c>
      <c r="W1274" s="271"/>
      <c r="X1274" s="271">
        <f t="shared" ca="1" si="202"/>
        <v>0</v>
      </c>
      <c r="Y1274" s="271"/>
      <c r="Z1274" s="271"/>
      <c r="AB1274" s="273" t="str">
        <f t="shared" si="203"/>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ca="1" si="201"/>
        <v/>
      </c>
      <c r="T1275" s="222" t="str">
        <f ca="1">IF(B1275="","",IF(ISERROR(MATCH($J1275,SorP!$B$1:$B$6230,0)),"",INDIRECT("'SorP'!$A$"&amp;MATCH($J1275,SorP!$B$1:$B$6230,0))))</f>
        <v/>
      </c>
      <c r="U1275" s="238"/>
      <c r="V1275" s="270" t="e">
        <f>IF(C1275="",NA(),MATCH($B1275&amp;$C1275,'Smelter Look-up'!$J:$J,0))</f>
        <v>#N/A</v>
      </c>
      <c r="W1275" s="271"/>
      <c r="X1275" s="271">
        <f t="shared" ca="1" si="202"/>
        <v>0</v>
      </c>
      <c r="Y1275" s="271"/>
      <c r="Z1275" s="271"/>
      <c r="AB1275" s="273" t="str">
        <f t="shared" si="203"/>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ca="1" si="201"/>
        <v/>
      </c>
      <c r="T1276" s="222" t="str">
        <f ca="1">IF(B1276="","",IF(ISERROR(MATCH($J1276,SorP!$B$1:$B$6230,0)),"",INDIRECT("'SorP'!$A$"&amp;MATCH($J1276,SorP!$B$1:$B$6230,0))))</f>
        <v/>
      </c>
      <c r="U1276" s="238"/>
      <c r="V1276" s="270" t="e">
        <f>IF(C1276="",NA(),MATCH($B1276&amp;$C1276,'Smelter Look-up'!$J:$J,0))</f>
        <v>#N/A</v>
      </c>
      <c r="W1276" s="271"/>
      <c r="X1276" s="271">
        <f t="shared" ca="1" si="202"/>
        <v>0</v>
      </c>
      <c r="Y1276" s="271"/>
      <c r="Z1276" s="271"/>
      <c r="AB1276" s="273" t="str">
        <f t="shared" si="203"/>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201"/>
        <v/>
      </c>
      <c r="T1277" s="222" t="str">
        <f ca="1">IF(B1277="","",IF(ISERROR(MATCH($J1277,SorP!$B$1:$B$6230,0)),"",INDIRECT("'SorP'!$A$"&amp;MATCH($J1277,SorP!$B$1:$B$6230,0))))</f>
        <v/>
      </c>
      <c r="U1277" s="238"/>
      <c r="V1277" s="270" t="e">
        <f>IF(C1277="",NA(),MATCH($B1277&amp;$C1277,'Smelter Look-up'!$J:$J,0))</f>
        <v>#N/A</v>
      </c>
      <c r="W1277" s="271"/>
      <c r="X1277" s="271">
        <f t="shared" ca="1" si="202"/>
        <v>0</v>
      </c>
      <c r="Y1277" s="271"/>
      <c r="Z1277" s="271"/>
      <c r="AB1277" s="273" t="str">
        <f t="shared" si="203"/>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201"/>
        <v/>
      </c>
      <c r="T1278" s="222" t="str">
        <f ca="1">IF(B1278="","",IF(ISERROR(MATCH($J1278,SorP!$B$1:$B$6230,0)),"",INDIRECT("'SorP'!$A$"&amp;MATCH($J1278,SorP!$B$1:$B$6230,0))))</f>
        <v/>
      </c>
      <c r="U1278" s="238"/>
      <c r="V1278" s="270" t="e">
        <f>IF(C1278="",NA(),MATCH($B1278&amp;$C1278,'Smelter Look-up'!$J:$J,0))</f>
        <v>#N/A</v>
      </c>
      <c r="W1278" s="271"/>
      <c r="X1278" s="271">
        <f t="shared" ca="1" si="202"/>
        <v>0</v>
      </c>
      <c r="Y1278" s="271"/>
      <c r="Z1278" s="271"/>
      <c r="AB1278" s="273" t="str">
        <f t="shared" si="203"/>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201"/>
        <v/>
      </c>
      <c r="T1279" s="222" t="str">
        <f ca="1">IF(B1279="","",IF(ISERROR(MATCH($J1279,SorP!$B$1:$B$6230,0)),"",INDIRECT("'SorP'!$A$"&amp;MATCH($J1279,SorP!$B$1:$B$6230,0))))</f>
        <v/>
      </c>
      <c r="U1279" s="238"/>
      <c r="V1279" s="270" t="e">
        <f>IF(C1279="",NA(),MATCH($B1279&amp;$C1279,'Smelter Look-up'!$J:$J,0))</f>
        <v>#N/A</v>
      </c>
      <c r="W1279" s="271"/>
      <c r="X1279" s="271">
        <f t="shared" ca="1" si="202"/>
        <v>0</v>
      </c>
      <c r="Y1279" s="271"/>
      <c r="Z1279" s="271"/>
      <c r="AB1279" s="273" t="str">
        <f t="shared" si="203"/>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201"/>
        <v/>
      </c>
      <c r="T1280" s="222" t="str">
        <f ca="1">IF(B1280="","",IF(ISERROR(MATCH($J1280,SorP!$B$1:$B$6230,0)),"",INDIRECT("'SorP'!$A$"&amp;MATCH($J1280,SorP!$B$1:$B$6230,0))))</f>
        <v/>
      </c>
      <c r="U1280" s="238"/>
      <c r="V1280" s="270" t="e">
        <f>IF(C1280="",NA(),MATCH($B1280&amp;$C1280,'Smelter Look-up'!$J:$J,0))</f>
        <v>#N/A</v>
      </c>
      <c r="W1280" s="271"/>
      <c r="X1280" s="271">
        <f t="shared" ca="1" si="202"/>
        <v>0</v>
      </c>
      <c r="Y1280" s="271"/>
      <c r="Z1280" s="271"/>
      <c r="AB1280" s="273" t="str">
        <f t="shared" si="203"/>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201"/>
        <v/>
      </c>
      <c r="T1281" s="222" t="str">
        <f ca="1">IF(B1281="","",IF(ISERROR(MATCH($J1281,SorP!$B$1:$B$6230,0)),"",INDIRECT("'SorP'!$A$"&amp;MATCH($J1281,SorP!$B$1:$B$6230,0))))</f>
        <v/>
      </c>
      <c r="U1281" s="238"/>
      <c r="V1281" s="270" t="e">
        <f>IF(C1281="",NA(),MATCH($B1281&amp;$C1281,'Smelter Look-up'!$J:$J,0))</f>
        <v>#N/A</v>
      </c>
      <c r="W1281" s="271"/>
      <c r="X1281" s="271">
        <f t="shared" ca="1" si="202"/>
        <v>0</v>
      </c>
      <c r="Y1281" s="271"/>
      <c r="Z1281" s="271"/>
      <c r="AB1281" s="273" t="str">
        <f t="shared" si="203"/>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201"/>
        <v/>
      </c>
      <c r="T1282" s="222" t="str">
        <f ca="1">IF(B1282="","",IF(ISERROR(MATCH($J1282,SorP!$B$1:$B$6230,0)),"",INDIRECT("'SorP'!$A$"&amp;MATCH($J1282,SorP!$B$1:$B$6230,0))))</f>
        <v/>
      </c>
      <c r="U1282" s="238"/>
      <c r="V1282" s="270" t="e">
        <f>IF(C1282="",NA(),MATCH($B1282&amp;$C1282,'Smelter Look-up'!$J:$J,0))</f>
        <v>#N/A</v>
      </c>
      <c r="W1282" s="271"/>
      <c r="X1282" s="271">
        <f t="shared" ca="1" si="202"/>
        <v>0</v>
      </c>
      <c r="Y1282" s="271"/>
      <c r="Z1282" s="271"/>
      <c r="AB1282" s="273" t="str">
        <f t="shared" si="203"/>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201"/>
        <v/>
      </c>
      <c r="T1283" s="222" t="str">
        <f ca="1">IF(B1283="","",IF(ISERROR(MATCH($J1283,SorP!$B$1:$B$6230,0)),"",INDIRECT("'SorP'!$A$"&amp;MATCH($J1283,SorP!$B$1:$B$6230,0))))</f>
        <v/>
      </c>
      <c r="U1283" s="238"/>
      <c r="V1283" s="270" t="e">
        <f>IF(C1283="",NA(),MATCH($B1283&amp;$C1283,'Smelter Look-up'!$J:$J,0))</f>
        <v>#N/A</v>
      </c>
      <c r="W1283" s="271"/>
      <c r="X1283" s="271">
        <f t="shared" ca="1" si="202"/>
        <v>0</v>
      </c>
      <c r="Y1283" s="271"/>
      <c r="Z1283" s="271"/>
      <c r="AB1283" s="273" t="str">
        <f t="shared" si="203"/>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201"/>
        <v/>
      </c>
      <c r="T1284" s="222" t="str">
        <f ca="1">IF(B1284="","",IF(ISERROR(MATCH($J1284,SorP!$B$1:$B$6230,0)),"",INDIRECT("'SorP'!$A$"&amp;MATCH($J1284,SorP!$B$1:$B$6230,0))))</f>
        <v/>
      </c>
      <c r="U1284" s="238"/>
      <c r="V1284" s="270" t="e">
        <f>IF(C1284="",NA(),MATCH($B1284&amp;$C1284,'Smelter Look-up'!$J:$J,0))</f>
        <v>#N/A</v>
      </c>
      <c r="W1284" s="271"/>
      <c r="X1284" s="271">
        <f t="shared" ca="1" si="202"/>
        <v>0</v>
      </c>
      <c r="Y1284" s="271"/>
      <c r="Z1284" s="271"/>
      <c r="AB1284" s="273" t="str">
        <f t="shared" si="203"/>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201"/>
        <v/>
      </c>
      <c r="T1285" s="222" t="str">
        <f ca="1">IF(B1285="","",IF(ISERROR(MATCH($J1285,SorP!$B$1:$B$6230,0)),"",INDIRECT("'SorP'!$A$"&amp;MATCH($J1285,SorP!$B$1:$B$6230,0))))</f>
        <v/>
      </c>
      <c r="U1285" s="238"/>
      <c r="V1285" s="270" t="e">
        <f>IF(C1285="",NA(),MATCH($B1285&amp;$C1285,'Smelter Look-up'!$J:$J,0))</f>
        <v>#N/A</v>
      </c>
      <c r="W1285" s="271"/>
      <c r="X1285" s="271">
        <f t="shared" ca="1" si="202"/>
        <v>0</v>
      </c>
      <c r="Y1285" s="271"/>
      <c r="Z1285" s="271"/>
      <c r="AB1285" s="273" t="str">
        <f t="shared" si="203"/>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201"/>
        <v/>
      </c>
      <c r="T1286" s="222" t="str">
        <f ca="1">IF(B1286="","",IF(ISERROR(MATCH($J1286,SorP!$B$1:$B$6230,0)),"",INDIRECT("'SorP'!$A$"&amp;MATCH($J1286,SorP!$B$1:$B$6230,0))))</f>
        <v/>
      </c>
      <c r="U1286" s="238"/>
      <c r="V1286" s="270" t="e">
        <f>IF(C1286="",NA(),MATCH($B1286&amp;$C1286,'Smelter Look-up'!$J:$J,0))</f>
        <v>#N/A</v>
      </c>
      <c r="W1286" s="271"/>
      <c r="X1286" s="271">
        <f t="shared" ca="1" si="202"/>
        <v>0</v>
      </c>
      <c r="Y1286" s="271"/>
      <c r="Z1286" s="271"/>
      <c r="AB1286" s="273" t="str">
        <f t="shared" si="203"/>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201"/>
        <v/>
      </c>
      <c r="T1287" s="222" t="str">
        <f ca="1">IF(B1287="","",IF(ISERROR(MATCH($J1287,SorP!$B$1:$B$6230,0)),"",INDIRECT("'SorP'!$A$"&amp;MATCH($J1287,SorP!$B$1:$B$6230,0))))</f>
        <v/>
      </c>
      <c r="U1287" s="238"/>
      <c r="V1287" s="270" t="e">
        <f>IF(C1287="",NA(),MATCH($B1287&amp;$C1287,'Smelter Look-up'!$J:$J,0))</f>
        <v>#N/A</v>
      </c>
      <c r="W1287" s="271"/>
      <c r="X1287" s="271">
        <f t="shared" ca="1" si="202"/>
        <v>0</v>
      </c>
      <c r="Y1287" s="271"/>
      <c r="Z1287" s="271"/>
      <c r="AB1287" s="273" t="str">
        <f t="shared" si="203"/>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201"/>
        <v/>
      </c>
      <c r="T1288" s="222" t="str">
        <f ca="1">IF(B1288="","",IF(ISERROR(MATCH($J1288,SorP!$B$1:$B$6230,0)),"",INDIRECT("'SorP'!$A$"&amp;MATCH($J1288,SorP!$B$1:$B$6230,0))))</f>
        <v/>
      </c>
      <c r="U1288" s="238"/>
      <c r="V1288" s="270" t="e">
        <f>IF(C1288="",NA(),MATCH($B1288&amp;$C1288,'Smelter Look-up'!$J:$J,0))</f>
        <v>#N/A</v>
      </c>
      <c r="W1288" s="271"/>
      <c r="X1288" s="271">
        <f t="shared" ca="1" si="202"/>
        <v>0</v>
      </c>
      <c r="Y1288" s="271"/>
      <c r="Z1288" s="271"/>
      <c r="AB1288" s="273" t="str">
        <f t="shared" si="203"/>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201"/>
        <v/>
      </c>
      <c r="T1289" s="222" t="str">
        <f ca="1">IF(B1289="","",IF(ISERROR(MATCH($J1289,SorP!$B$1:$B$6230,0)),"",INDIRECT("'SorP'!$A$"&amp;MATCH($J1289,SorP!$B$1:$B$6230,0))))</f>
        <v/>
      </c>
      <c r="U1289" s="238"/>
      <c r="V1289" s="270" t="e">
        <f>IF(C1289="",NA(),MATCH($B1289&amp;$C1289,'Smelter Look-up'!$J:$J,0))</f>
        <v>#N/A</v>
      </c>
      <c r="W1289" s="271"/>
      <c r="X1289" s="271">
        <f t="shared" ca="1" si="202"/>
        <v>0</v>
      </c>
      <c r="Y1289" s="271"/>
      <c r="Z1289" s="271"/>
      <c r="AB1289" s="273" t="str">
        <f t="shared" si="203"/>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201"/>
        <v/>
      </c>
      <c r="T1290" s="222" t="str">
        <f ca="1">IF(B1290="","",IF(ISERROR(MATCH($J1290,SorP!$B$1:$B$6230,0)),"",INDIRECT("'SorP'!$A$"&amp;MATCH($J1290,SorP!$B$1:$B$6230,0))))</f>
        <v/>
      </c>
      <c r="U1290" s="238"/>
      <c r="V1290" s="270" t="e">
        <f>IF(C1290="",NA(),MATCH($B1290&amp;$C1290,'Smelter Look-up'!$J:$J,0))</f>
        <v>#N/A</v>
      </c>
      <c r="W1290" s="271"/>
      <c r="X1290" s="271">
        <f t="shared" ca="1" si="202"/>
        <v>0</v>
      </c>
      <c r="Y1290" s="271"/>
      <c r="Z1290" s="271"/>
      <c r="AB1290" s="273" t="str">
        <f t="shared" si="203"/>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201"/>
        <v/>
      </c>
      <c r="T1291" s="222" t="str">
        <f ca="1">IF(B1291="","",IF(ISERROR(MATCH($J1291,SorP!$B$1:$B$6230,0)),"",INDIRECT("'SorP'!$A$"&amp;MATCH($J1291,SorP!$B$1:$B$6230,0))))</f>
        <v/>
      </c>
      <c r="U1291" s="238"/>
      <c r="V1291" s="270" t="e">
        <f>IF(C1291="",NA(),MATCH($B1291&amp;$C1291,'Smelter Look-up'!$J:$J,0))</f>
        <v>#N/A</v>
      </c>
      <c r="W1291" s="271"/>
      <c r="X1291" s="271">
        <f t="shared" ca="1" si="202"/>
        <v>0</v>
      </c>
      <c r="Y1291" s="271"/>
      <c r="Z1291" s="271"/>
      <c r="AB1291" s="273" t="str">
        <f t="shared" si="203"/>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201"/>
        <v/>
      </c>
      <c r="T1292" s="222" t="str">
        <f ca="1">IF(B1292="","",IF(ISERROR(MATCH($J1292,SorP!$B$1:$B$6230,0)),"",INDIRECT("'SorP'!$A$"&amp;MATCH($J1292,SorP!$B$1:$B$6230,0))))</f>
        <v/>
      </c>
      <c r="U1292" s="238"/>
      <c r="V1292" s="270" t="e">
        <f>IF(C1292="",NA(),MATCH($B1292&amp;$C1292,'Smelter Look-up'!$J:$J,0))</f>
        <v>#N/A</v>
      </c>
      <c r="W1292" s="271"/>
      <c r="X1292" s="271">
        <f t="shared" ca="1" si="202"/>
        <v>0</v>
      </c>
      <c r="Y1292" s="271"/>
      <c r="Z1292" s="271"/>
      <c r="AB1292" s="273" t="str">
        <f t="shared" si="203"/>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201"/>
        <v/>
      </c>
      <c r="T1293" s="222" t="str">
        <f ca="1">IF(B1293="","",IF(ISERROR(MATCH($J1293,SorP!$B$1:$B$6230,0)),"",INDIRECT("'SorP'!$A$"&amp;MATCH($J1293,SorP!$B$1:$B$6230,0))))</f>
        <v/>
      </c>
      <c r="U1293" s="238"/>
      <c r="V1293" s="270" t="e">
        <f>IF(C1293="",NA(),MATCH($B1293&amp;$C1293,'Smelter Look-up'!$J:$J,0))</f>
        <v>#N/A</v>
      </c>
      <c r="W1293" s="271"/>
      <c r="X1293" s="271">
        <f t="shared" ca="1" si="202"/>
        <v>0</v>
      </c>
      <c r="Y1293" s="271"/>
      <c r="Z1293" s="271"/>
      <c r="AB1293" s="273" t="str">
        <f t="shared" si="203"/>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201"/>
        <v/>
      </c>
      <c r="T1294" s="222" t="str">
        <f ca="1">IF(B1294="","",IF(ISERROR(MATCH($J1294,SorP!$B$1:$B$6230,0)),"",INDIRECT("'SorP'!$A$"&amp;MATCH($J1294,SorP!$B$1:$B$6230,0))))</f>
        <v/>
      </c>
      <c r="U1294" s="238"/>
      <c r="V1294" s="270" t="e">
        <f>IF(C1294="",NA(),MATCH($B1294&amp;$C1294,'Smelter Look-up'!$J:$J,0))</f>
        <v>#N/A</v>
      </c>
      <c r="W1294" s="271"/>
      <c r="X1294" s="271">
        <f t="shared" ca="1" si="202"/>
        <v>0</v>
      </c>
      <c r="Y1294" s="271"/>
      <c r="Z1294" s="271"/>
      <c r="AB1294" s="273" t="str">
        <f t="shared" si="203"/>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201"/>
        <v/>
      </c>
      <c r="T1295" s="222" t="str">
        <f ca="1">IF(B1295="","",IF(ISERROR(MATCH($J1295,SorP!$B$1:$B$6230,0)),"",INDIRECT("'SorP'!$A$"&amp;MATCH($J1295,SorP!$B$1:$B$6230,0))))</f>
        <v/>
      </c>
      <c r="U1295" s="238"/>
      <c r="V1295" s="270" t="e">
        <f>IF(C1295="",NA(),MATCH($B1295&amp;$C1295,'Smelter Look-up'!$J:$J,0))</f>
        <v>#N/A</v>
      </c>
      <c r="W1295" s="271"/>
      <c r="X1295" s="271">
        <f t="shared" ca="1" si="202"/>
        <v>0</v>
      </c>
      <c r="Y1295" s="271"/>
      <c r="Z1295" s="271"/>
      <c r="AB1295" s="273" t="str">
        <f t="shared" si="203"/>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201"/>
        <v/>
      </c>
      <c r="T1296" s="222" t="str">
        <f ca="1">IF(B1296="","",IF(ISERROR(MATCH($J1296,SorP!$B$1:$B$6230,0)),"",INDIRECT("'SorP'!$A$"&amp;MATCH($J1296,SorP!$B$1:$B$6230,0))))</f>
        <v/>
      </c>
      <c r="U1296" s="238"/>
      <c r="V1296" s="270" t="e">
        <f>IF(C1296="",NA(),MATCH($B1296&amp;$C1296,'Smelter Look-up'!$J:$J,0))</f>
        <v>#N/A</v>
      </c>
      <c r="W1296" s="271"/>
      <c r="X1296" s="271">
        <f t="shared" ca="1" si="202"/>
        <v>0</v>
      </c>
      <c r="Y1296" s="271"/>
      <c r="Z1296" s="271"/>
      <c r="AB1296" s="273" t="str">
        <f t="shared" si="203"/>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201"/>
        <v/>
      </c>
      <c r="T1297" s="222" t="str">
        <f ca="1">IF(B1297="","",IF(ISERROR(MATCH($J1297,SorP!$B$1:$B$6230,0)),"",INDIRECT("'SorP'!$A$"&amp;MATCH($J1297,SorP!$B$1:$B$6230,0))))</f>
        <v/>
      </c>
      <c r="U1297" s="238"/>
      <c r="V1297" s="270" t="e">
        <f>IF(C1297="",NA(),MATCH($B1297&amp;$C1297,'Smelter Look-up'!$J:$J,0))</f>
        <v>#N/A</v>
      </c>
      <c r="W1297" s="271"/>
      <c r="X1297" s="271">
        <f t="shared" ca="1" si="202"/>
        <v>0</v>
      </c>
      <c r="Y1297" s="271"/>
      <c r="Z1297" s="271"/>
      <c r="AB1297" s="273" t="str">
        <f t="shared" si="203"/>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201"/>
        <v/>
      </c>
      <c r="T1298" s="222" t="str">
        <f ca="1">IF(B1298="","",IF(ISERROR(MATCH($J1298,SorP!$B$1:$B$6230,0)),"",INDIRECT("'SorP'!$A$"&amp;MATCH($J1298,SorP!$B$1:$B$6230,0))))</f>
        <v/>
      </c>
      <c r="U1298" s="238"/>
      <c r="V1298" s="270" t="e">
        <f>IF(C1298="",NA(),MATCH($B1298&amp;$C1298,'Smelter Look-up'!$J:$J,0))</f>
        <v>#N/A</v>
      </c>
      <c r="W1298" s="271"/>
      <c r="X1298" s="271">
        <f t="shared" ca="1" si="202"/>
        <v>0</v>
      </c>
      <c r="Y1298" s="271"/>
      <c r="Z1298" s="271"/>
      <c r="AB1298" s="273" t="str">
        <f t="shared" si="203"/>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201"/>
        <v/>
      </c>
      <c r="T1299" s="222" t="str">
        <f ca="1">IF(B1299="","",IF(ISERROR(MATCH($J1299,SorP!$B$1:$B$6230,0)),"",INDIRECT("'SorP'!$A$"&amp;MATCH($J1299,SorP!$B$1:$B$6230,0))))</f>
        <v/>
      </c>
      <c r="U1299" s="238"/>
      <c r="V1299" s="270" t="e">
        <f>IF(C1299="",NA(),MATCH($B1299&amp;$C1299,'Smelter Look-up'!$J:$J,0))</f>
        <v>#N/A</v>
      </c>
      <c r="W1299" s="271"/>
      <c r="X1299" s="271">
        <f t="shared" ca="1" si="202"/>
        <v>0</v>
      </c>
      <c r="Y1299" s="271"/>
      <c r="Z1299" s="271"/>
      <c r="AB1299" s="273" t="str">
        <f t="shared" si="203"/>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201"/>
        <v/>
      </c>
      <c r="T1300" s="222" t="str">
        <f ca="1">IF(B1300="","",IF(ISERROR(MATCH($J1300,SorP!$B$1:$B$6230,0)),"",INDIRECT("'SorP'!$A$"&amp;MATCH($J1300,SorP!$B$1:$B$6230,0))))</f>
        <v/>
      </c>
      <c r="U1300" s="238"/>
      <c r="V1300" s="270" t="e">
        <f>IF(C1300="",NA(),MATCH($B1300&amp;$C1300,'Smelter Look-up'!$J:$J,0))</f>
        <v>#N/A</v>
      </c>
      <c r="W1300" s="271"/>
      <c r="X1300" s="271">
        <f t="shared" ca="1" si="202"/>
        <v>0</v>
      </c>
      <c r="Y1300" s="271"/>
      <c r="Z1300" s="271"/>
      <c r="AB1300" s="273" t="str">
        <f t="shared" si="203"/>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201"/>
        <v/>
      </c>
      <c r="T1301" s="222" t="str">
        <f ca="1">IF(B1301="","",IF(ISERROR(MATCH($J1301,SorP!$B$1:$B$6230,0)),"",INDIRECT("'SorP'!$A$"&amp;MATCH($J1301,SorP!$B$1:$B$6230,0))))</f>
        <v/>
      </c>
      <c r="U1301" s="238"/>
      <c r="V1301" s="270" t="e">
        <f>IF(C1301="",NA(),MATCH($B1301&amp;$C1301,'Smelter Look-up'!$J:$J,0))</f>
        <v>#N/A</v>
      </c>
      <c r="W1301" s="271"/>
      <c r="X1301" s="271">
        <f t="shared" ca="1" si="202"/>
        <v>0</v>
      </c>
      <c r="Y1301" s="271"/>
      <c r="Z1301" s="271"/>
      <c r="AB1301" s="273" t="str">
        <f t="shared" si="203"/>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201"/>
        <v/>
      </c>
      <c r="T1302" s="222" t="str">
        <f ca="1">IF(B1302="","",IF(ISERROR(MATCH($J1302,SorP!$B$1:$B$6230,0)),"",INDIRECT("'SorP'!$A$"&amp;MATCH($J1302,SorP!$B$1:$B$6230,0))))</f>
        <v/>
      </c>
      <c r="U1302" s="238"/>
      <c r="V1302" s="270" t="e">
        <f>IF(C1302="",NA(),MATCH($B1302&amp;$C1302,'Smelter Look-up'!$J:$J,0))</f>
        <v>#N/A</v>
      </c>
      <c r="W1302" s="271"/>
      <c r="X1302" s="271">
        <f t="shared" ca="1" si="202"/>
        <v>0</v>
      </c>
      <c r="Y1302" s="271"/>
      <c r="Z1302" s="271"/>
      <c r="AB1302" s="273" t="str">
        <f t="shared" si="203"/>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201"/>
        <v/>
      </c>
      <c r="T1303" s="222" t="str">
        <f ca="1">IF(B1303="","",IF(ISERROR(MATCH($J1303,SorP!$B$1:$B$6230,0)),"",INDIRECT("'SorP'!$A$"&amp;MATCH($J1303,SorP!$B$1:$B$6230,0))))</f>
        <v/>
      </c>
      <c r="U1303" s="238"/>
      <c r="V1303" s="270" t="e">
        <f>IF(C1303="",NA(),MATCH($B1303&amp;$C1303,'Smelter Look-up'!$J:$J,0))</f>
        <v>#N/A</v>
      </c>
      <c r="W1303" s="271"/>
      <c r="X1303" s="271">
        <f t="shared" ca="1" si="202"/>
        <v>0</v>
      </c>
      <c r="Y1303" s="271"/>
      <c r="Z1303" s="271"/>
      <c r="AB1303" s="273" t="str">
        <f t="shared" si="203"/>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ref="S1304" ca="1" si="204">IF(B1304="","",IF(ISERROR(MATCH($E1304,CL,0)),"Unknown",INDIRECT("'C'!$A$"&amp;MATCH($E1304,CL,0)+1)))</f>
        <v/>
      </c>
      <c r="T1304" s="222" t="str">
        <f ca="1">IF(B1304="","",IF(ISERROR(MATCH($J1304,SorP!$B$1:$B$6230,0)),"",INDIRECT("'SorP'!$A$"&amp;MATCH($J1304,SorP!$B$1:$B$6230,0))))</f>
        <v/>
      </c>
      <c r="U1304" s="238"/>
      <c r="V1304" s="270" t="e">
        <f>IF(C1304="",NA(),MATCH($B1304&amp;$C1304,'Smelter Look-up'!$J:$J,0))</f>
        <v>#N/A</v>
      </c>
      <c r="W1304" s="271"/>
      <c r="X1304" s="271">
        <f t="shared" ref="X1304" ca="1" si="205">IF(AND(C1304="Smelter not listed",OR(LEN(D1304)=0,LEN(E1304)=0)),1,0)</f>
        <v>0</v>
      </c>
      <c r="Y1304" s="271"/>
      <c r="Z1304" s="271"/>
      <c r="AB1304" s="273" t="str">
        <f t="shared" ref="AB1304" si="206">B1304&amp;C1304</f>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ref="S1305:S1336" ca="1" si="207">IF(B1305="","",IF(ISERROR(MATCH($E1305,CL,0)),"Unknown",INDIRECT("'C'!$A$"&amp;MATCH($E1305,CL,0)+1)))</f>
        <v/>
      </c>
      <c r="T1305" s="222" t="str">
        <f ca="1">IF(B1305="","",IF(ISERROR(MATCH($J1305,SorP!$B$1:$B$6230,0)),"",INDIRECT("'SorP'!$A$"&amp;MATCH($J1305,SorP!$B$1:$B$6230,0))))</f>
        <v/>
      </c>
      <c r="U1305" s="238"/>
      <c r="V1305" s="270" t="e">
        <f>IF(C1305="",NA(),MATCH($B1305&amp;$C1305,'Smelter Look-up'!$J:$J,0))</f>
        <v>#N/A</v>
      </c>
      <c r="W1305" s="271"/>
      <c r="X1305" s="271">
        <f t="shared" ref="X1305:X1336" ca="1" si="208">IF(AND(C1305="Smelter not listed",OR(LEN(D1305)=0,LEN(E1305)=0)),1,0)</f>
        <v>0</v>
      </c>
      <c r="Y1305" s="271"/>
      <c r="Z1305" s="271"/>
      <c r="AB1305" s="273" t="str">
        <f t="shared" ref="AB1305:AB1336" si="209">B1305&amp;C1305</f>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207"/>
        <v/>
      </c>
      <c r="T1306" s="222" t="str">
        <f ca="1">IF(B1306="","",IF(ISERROR(MATCH($J1306,SorP!$B$1:$B$6230,0)),"",INDIRECT("'SorP'!$A$"&amp;MATCH($J1306,SorP!$B$1:$B$6230,0))))</f>
        <v/>
      </c>
      <c r="U1306" s="238"/>
      <c r="V1306" s="270" t="e">
        <f>IF(C1306="",NA(),MATCH($B1306&amp;$C1306,'Smelter Look-up'!$J:$J,0))</f>
        <v>#N/A</v>
      </c>
      <c r="W1306" s="271"/>
      <c r="X1306" s="271">
        <f t="shared" ca="1" si="208"/>
        <v>0</v>
      </c>
      <c r="Y1306" s="271"/>
      <c r="Z1306" s="271"/>
      <c r="AB1306" s="273" t="str">
        <f t="shared" si="209"/>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207"/>
        <v/>
      </c>
      <c r="T1307" s="222" t="str">
        <f ca="1">IF(B1307="","",IF(ISERROR(MATCH($J1307,SorP!$B$1:$B$6230,0)),"",INDIRECT("'SorP'!$A$"&amp;MATCH($J1307,SorP!$B$1:$B$6230,0))))</f>
        <v/>
      </c>
      <c r="U1307" s="238"/>
      <c r="V1307" s="270" t="e">
        <f>IF(C1307="",NA(),MATCH($B1307&amp;$C1307,'Smelter Look-up'!$J:$J,0))</f>
        <v>#N/A</v>
      </c>
      <c r="W1307" s="271"/>
      <c r="X1307" s="271">
        <f t="shared" ca="1" si="208"/>
        <v>0</v>
      </c>
      <c r="Y1307" s="271"/>
      <c r="Z1307" s="271"/>
      <c r="AB1307" s="273" t="str">
        <f t="shared" si="209"/>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ca="1" si="207"/>
        <v/>
      </c>
      <c r="T1308" s="222" t="str">
        <f ca="1">IF(B1308="","",IF(ISERROR(MATCH($J1308,SorP!$B$1:$B$6230,0)),"",INDIRECT("'SorP'!$A$"&amp;MATCH($J1308,SorP!$B$1:$B$6230,0))))</f>
        <v/>
      </c>
      <c r="U1308" s="238"/>
      <c r="V1308" s="270" t="e">
        <f>IF(C1308="",NA(),MATCH($B1308&amp;$C1308,'Smelter Look-up'!$J:$J,0))</f>
        <v>#N/A</v>
      </c>
      <c r="W1308" s="271"/>
      <c r="X1308" s="271">
        <f t="shared" ca="1" si="208"/>
        <v>0</v>
      </c>
      <c r="Y1308" s="271"/>
      <c r="Z1308" s="271"/>
      <c r="AB1308" s="273" t="str">
        <f t="shared" si="209"/>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207"/>
        <v/>
      </c>
      <c r="T1309" s="222" t="str">
        <f ca="1">IF(B1309="","",IF(ISERROR(MATCH($J1309,SorP!$B$1:$B$6230,0)),"",INDIRECT("'SorP'!$A$"&amp;MATCH($J1309,SorP!$B$1:$B$6230,0))))</f>
        <v/>
      </c>
      <c r="U1309" s="238"/>
      <c r="V1309" s="270" t="e">
        <f>IF(C1309="",NA(),MATCH($B1309&amp;$C1309,'Smelter Look-up'!$J:$J,0))</f>
        <v>#N/A</v>
      </c>
      <c r="W1309" s="271"/>
      <c r="X1309" s="271">
        <f t="shared" ca="1" si="208"/>
        <v>0</v>
      </c>
      <c r="Y1309" s="271"/>
      <c r="Z1309" s="271"/>
      <c r="AB1309" s="273" t="str">
        <f t="shared" si="209"/>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207"/>
        <v/>
      </c>
      <c r="T1310" s="222" t="str">
        <f ca="1">IF(B1310="","",IF(ISERROR(MATCH($J1310,SorP!$B$1:$B$6230,0)),"",INDIRECT("'SorP'!$A$"&amp;MATCH($J1310,SorP!$B$1:$B$6230,0))))</f>
        <v/>
      </c>
      <c r="U1310" s="238"/>
      <c r="V1310" s="270" t="e">
        <f>IF(C1310="",NA(),MATCH($B1310&amp;$C1310,'Smelter Look-up'!$J:$J,0))</f>
        <v>#N/A</v>
      </c>
      <c r="W1310" s="271"/>
      <c r="X1310" s="271">
        <f t="shared" ca="1" si="208"/>
        <v>0</v>
      </c>
      <c r="Y1310" s="271"/>
      <c r="Z1310" s="271"/>
      <c r="AB1310" s="273" t="str">
        <f t="shared" si="209"/>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207"/>
        <v/>
      </c>
      <c r="T1311" s="222" t="str">
        <f ca="1">IF(B1311="","",IF(ISERROR(MATCH($J1311,SorP!$B$1:$B$6230,0)),"",INDIRECT("'SorP'!$A$"&amp;MATCH($J1311,SorP!$B$1:$B$6230,0))))</f>
        <v/>
      </c>
      <c r="U1311" s="238"/>
      <c r="V1311" s="270" t="e">
        <f>IF(C1311="",NA(),MATCH($B1311&amp;$C1311,'Smelter Look-up'!$J:$J,0))</f>
        <v>#N/A</v>
      </c>
      <c r="W1311" s="271"/>
      <c r="X1311" s="271">
        <f t="shared" ca="1" si="208"/>
        <v>0</v>
      </c>
      <c r="Y1311" s="271"/>
      <c r="Z1311" s="271"/>
      <c r="AB1311" s="273" t="str">
        <f t="shared" si="209"/>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207"/>
        <v/>
      </c>
      <c r="T1312" s="222" t="str">
        <f ca="1">IF(B1312="","",IF(ISERROR(MATCH($J1312,SorP!$B$1:$B$6230,0)),"",INDIRECT("'SorP'!$A$"&amp;MATCH($J1312,SorP!$B$1:$B$6230,0))))</f>
        <v/>
      </c>
      <c r="U1312" s="238"/>
      <c r="V1312" s="270" t="e">
        <f>IF(C1312="",NA(),MATCH($B1312&amp;$C1312,'Smelter Look-up'!$J:$J,0))</f>
        <v>#N/A</v>
      </c>
      <c r="W1312" s="271"/>
      <c r="X1312" s="271">
        <f t="shared" ca="1" si="208"/>
        <v>0</v>
      </c>
      <c r="Y1312" s="271"/>
      <c r="Z1312" s="271"/>
      <c r="AB1312" s="273" t="str">
        <f t="shared" si="209"/>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207"/>
        <v/>
      </c>
      <c r="T1313" s="222" t="str">
        <f ca="1">IF(B1313="","",IF(ISERROR(MATCH($J1313,SorP!$B$1:$B$6230,0)),"",INDIRECT("'SorP'!$A$"&amp;MATCH($J1313,SorP!$B$1:$B$6230,0))))</f>
        <v/>
      </c>
      <c r="U1313" s="238"/>
      <c r="V1313" s="270" t="e">
        <f>IF(C1313="",NA(),MATCH($B1313&amp;$C1313,'Smelter Look-up'!$J:$J,0))</f>
        <v>#N/A</v>
      </c>
      <c r="W1313" s="271"/>
      <c r="X1313" s="271">
        <f t="shared" ca="1" si="208"/>
        <v>0</v>
      </c>
      <c r="Y1313" s="271"/>
      <c r="Z1313" s="271"/>
      <c r="AB1313" s="273" t="str">
        <f t="shared" si="209"/>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207"/>
        <v/>
      </c>
      <c r="T1314" s="222" t="str">
        <f ca="1">IF(B1314="","",IF(ISERROR(MATCH($J1314,SorP!$B$1:$B$6230,0)),"",INDIRECT("'SorP'!$A$"&amp;MATCH($J1314,SorP!$B$1:$B$6230,0))))</f>
        <v/>
      </c>
      <c r="U1314" s="238"/>
      <c r="V1314" s="270" t="e">
        <f>IF(C1314="",NA(),MATCH($B1314&amp;$C1314,'Smelter Look-up'!$J:$J,0))</f>
        <v>#N/A</v>
      </c>
      <c r="W1314" s="271"/>
      <c r="X1314" s="271">
        <f t="shared" ca="1" si="208"/>
        <v>0</v>
      </c>
      <c r="Y1314" s="271"/>
      <c r="Z1314" s="271"/>
      <c r="AB1314" s="273" t="str">
        <f t="shared" si="209"/>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207"/>
        <v/>
      </c>
      <c r="T1315" s="222" t="str">
        <f ca="1">IF(B1315="","",IF(ISERROR(MATCH($J1315,SorP!$B$1:$B$6230,0)),"",INDIRECT("'SorP'!$A$"&amp;MATCH($J1315,SorP!$B$1:$B$6230,0))))</f>
        <v/>
      </c>
      <c r="U1315" s="238"/>
      <c r="V1315" s="270" t="e">
        <f>IF(C1315="",NA(),MATCH($B1315&amp;$C1315,'Smelter Look-up'!$J:$J,0))</f>
        <v>#N/A</v>
      </c>
      <c r="W1315" s="271"/>
      <c r="X1315" s="271">
        <f t="shared" ca="1" si="208"/>
        <v>0</v>
      </c>
      <c r="Y1315" s="271"/>
      <c r="Z1315" s="271"/>
      <c r="AB1315" s="273" t="str">
        <f t="shared" si="209"/>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207"/>
        <v/>
      </c>
      <c r="T1316" s="222" t="str">
        <f ca="1">IF(B1316="","",IF(ISERROR(MATCH($J1316,SorP!$B$1:$B$6230,0)),"",INDIRECT("'SorP'!$A$"&amp;MATCH($J1316,SorP!$B$1:$B$6230,0))))</f>
        <v/>
      </c>
      <c r="U1316" s="238"/>
      <c r="V1316" s="270" t="e">
        <f>IF(C1316="",NA(),MATCH($B1316&amp;$C1316,'Smelter Look-up'!$J:$J,0))</f>
        <v>#N/A</v>
      </c>
      <c r="W1316" s="271"/>
      <c r="X1316" s="271">
        <f t="shared" ca="1" si="208"/>
        <v>0</v>
      </c>
      <c r="Y1316" s="271"/>
      <c r="Z1316" s="271"/>
      <c r="AB1316" s="273" t="str">
        <f t="shared" si="209"/>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207"/>
        <v/>
      </c>
      <c r="T1317" s="222" t="str">
        <f ca="1">IF(B1317="","",IF(ISERROR(MATCH($J1317,SorP!$B$1:$B$6230,0)),"",INDIRECT("'SorP'!$A$"&amp;MATCH($J1317,SorP!$B$1:$B$6230,0))))</f>
        <v/>
      </c>
      <c r="U1317" s="238"/>
      <c r="V1317" s="270" t="e">
        <f>IF(C1317="",NA(),MATCH($B1317&amp;$C1317,'Smelter Look-up'!$J:$J,0))</f>
        <v>#N/A</v>
      </c>
      <c r="W1317" s="271"/>
      <c r="X1317" s="271">
        <f t="shared" ca="1" si="208"/>
        <v>0</v>
      </c>
      <c r="Y1317" s="271"/>
      <c r="Z1317" s="271"/>
      <c r="AB1317" s="273" t="str">
        <f t="shared" si="209"/>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207"/>
        <v/>
      </c>
      <c r="T1318" s="222" t="str">
        <f ca="1">IF(B1318="","",IF(ISERROR(MATCH($J1318,SorP!$B$1:$B$6230,0)),"",INDIRECT("'SorP'!$A$"&amp;MATCH($J1318,SorP!$B$1:$B$6230,0))))</f>
        <v/>
      </c>
      <c r="U1318" s="238"/>
      <c r="V1318" s="270" t="e">
        <f>IF(C1318="",NA(),MATCH($B1318&amp;$C1318,'Smelter Look-up'!$J:$J,0))</f>
        <v>#N/A</v>
      </c>
      <c r="W1318" s="271"/>
      <c r="X1318" s="271">
        <f t="shared" ca="1" si="208"/>
        <v>0</v>
      </c>
      <c r="Y1318" s="271"/>
      <c r="Z1318" s="271"/>
      <c r="AB1318" s="273" t="str">
        <f t="shared" si="209"/>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207"/>
        <v/>
      </c>
      <c r="T1319" s="222" t="str">
        <f ca="1">IF(B1319="","",IF(ISERROR(MATCH($J1319,SorP!$B$1:$B$6230,0)),"",INDIRECT("'SorP'!$A$"&amp;MATCH($J1319,SorP!$B$1:$B$6230,0))))</f>
        <v/>
      </c>
      <c r="U1319" s="238"/>
      <c r="V1319" s="270" t="e">
        <f>IF(C1319="",NA(),MATCH($B1319&amp;$C1319,'Smelter Look-up'!$J:$J,0))</f>
        <v>#N/A</v>
      </c>
      <c r="W1319" s="271"/>
      <c r="X1319" s="271">
        <f t="shared" ca="1" si="208"/>
        <v>0</v>
      </c>
      <c r="Y1319" s="271"/>
      <c r="Z1319" s="271"/>
      <c r="AB1319" s="273" t="str">
        <f t="shared" si="209"/>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207"/>
        <v/>
      </c>
      <c r="T1320" s="222" t="str">
        <f ca="1">IF(B1320="","",IF(ISERROR(MATCH($J1320,SorP!$B$1:$B$6230,0)),"",INDIRECT("'SorP'!$A$"&amp;MATCH($J1320,SorP!$B$1:$B$6230,0))))</f>
        <v/>
      </c>
      <c r="U1320" s="238"/>
      <c r="V1320" s="270" t="e">
        <f>IF(C1320="",NA(),MATCH($B1320&amp;$C1320,'Smelter Look-up'!$J:$J,0))</f>
        <v>#N/A</v>
      </c>
      <c r="W1320" s="271"/>
      <c r="X1320" s="271">
        <f t="shared" ca="1" si="208"/>
        <v>0</v>
      </c>
      <c r="Y1320" s="271"/>
      <c r="Z1320" s="271"/>
      <c r="AB1320" s="273" t="str">
        <f t="shared" si="209"/>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207"/>
        <v/>
      </c>
      <c r="T1321" s="222" t="str">
        <f ca="1">IF(B1321="","",IF(ISERROR(MATCH($J1321,SorP!$B$1:$B$6230,0)),"",INDIRECT("'SorP'!$A$"&amp;MATCH($J1321,SorP!$B$1:$B$6230,0))))</f>
        <v/>
      </c>
      <c r="U1321" s="238"/>
      <c r="V1321" s="270" t="e">
        <f>IF(C1321="",NA(),MATCH($B1321&amp;$C1321,'Smelter Look-up'!$J:$J,0))</f>
        <v>#N/A</v>
      </c>
      <c r="W1321" s="271"/>
      <c r="X1321" s="271">
        <f t="shared" ca="1" si="208"/>
        <v>0</v>
      </c>
      <c r="Y1321" s="271"/>
      <c r="Z1321" s="271"/>
      <c r="AB1321" s="273" t="str">
        <f t="shared" si="209"/>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207"/>
        <v/>
      </c>
      <c r="T1322" s="222" t="str">
        <f ca="1">IF(B1322="","",IF(ISERROR(MATCH($J1322,SorP!$B$1:$B$6230,0)),"",INDIRECT("'SorP'!$A$"&amp;MATCH($J1322,SorP!$B$1:$B$6230,0))))</f>
        <v/>
      </c>
      <c r="U1322" s="238"/>
      <c r="V1322" s="270" t="e">
        <f>IF(C1322="",NA(),MATCH($B1322&amp;$C1322,'Smelter Look-up'!$J:$J,0))</f>
        <v>#N/A</v>
      </c>
      <c r="W1322" s="271"/>
      <c r="X1322" s="271">
        <f t="shared" ca="1" si="208"/>
        <v>0</v>
      </c>
      <c r="Y1322" s="271"/>
      <c r="Z1322" s="271"/>
      <c r="AB1322" s="273" t="str">
        <f t="shared" si="209"/>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207"/>
        <v/>
      </c>
      <c r="T1323" s="222" t="str">
        <f ca="1">IF(B1323="","",IF(ISERROR(MATCH($J1323,SorP!$B$1:$B$6230,0)),"",INDIRECT("'SorP'!$A$"&amp;MATCH($J1323,SorP!$B$1:$B$6230,0))))</f>
        <v/>
      </c>
      <c r="U1323" s="238"/>
      <c r="V1323" s="270" t="e">
        <f>IF(C1323="",NA(),MATCH($B1323&amp;$C1323,'Smelter Look-up'!$J:$J,0))</f>
        <v>#N/A</v>
      </c>
      <c r="W1323" s="271"/>
      <c r="X1323" s="271">
        <f t="shared" ca="1" si="208"/>
        <v>0</v>
      </c>
      <c r="Y1323" s="271"/>
      <c r="Z1323" s="271"/>
      <c r="AB1323" s="273" t="str">
        <f t="shared" si="209"/>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207"/>
        <v/>
      </c>
      <c r="T1324" s="222" t="str">
        <f ca="1">IF(B1324="","",IF(ISERROR(MATCH($J1324,SorP!$B$1:$B$6230,0)),"",INDIRECT("'SorP'!$A$"&amp;MATCH($J1324,SorP!$B$1:$B$6230,0))))</f>
        <v/>
      </c>
      <c r="U1324" s="238"/>
      <c r="V1324" s="270" t="e">
        <f>IF(C1324="",NA(),MATCH($B1324&amp;$C1324,'Smelter Look-up'!$J:$J,0))</f>
        <v>#N/A</v>
      </c>
      <c r="W1324" s="271"/>
      <c r="X1324" s="271">
        <f t="shared" ca="1" si="208"/>
        <v>0</v>
      </c>
      <c r="Y1324" s="271"/>
      <c r="Z1324" s="271"/>
      <c r="AB1324" s="273" t="str">
        <f t="shared" si="209"/>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207"/>
        <v/>
      </c>
      <c r="T1325" s="222" t="str">
        <f ca="1">IF(B1325="","",IF(ISERROR(MATCH($J1325,SorP!$B$1:$B$6230,0)),"",INDIRECT("'SorP'!$A$"&amp;MATCH($J1325,SorP!$B$1:$B$6230,0))))</f>
        <v/>
      </c>
      <c r="U1325" s="238"/>
      <c r="V1325" s="270" t="e">
        <f>IF(C1325="",NA(),MATCH($B1325&amp;$C1325,'Smelter Look-up'!$J:$J,0))</f>
        <v>#N/A</v>
      </c>
      <c r="W1325" s="271"/>
      <c r="X1325" s="271">
        <f t="shared" ca="1" si="208"/>
        <v>0</v>
      </c>
      <c r="Y1325" s="271"/>
      <c r="Z1325" s="271"/>
      <c r="AB1325" s="273" t="str">
        <f t="shared" si="209"/>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207"/>
        <v/>
      </c>
      <c r="T1326" s="222" t="str">
        <f ca="1">IF(B1326="","",IF(ISERROR(MATCH($J1326,SorP!$B$1:$B$6230,0)),"",INDIRECT("'SorP'!$A$"&amp;MATCH($J1326,SorP!$B$1:$B$6230,0))))</f>
        <v/>
      </c>
      <c r="U1326" s="238"/>
      <c r="V1326" s="270" t="e">
        <f>IF(C1326="",NA(),MATCH($B1326&amp;$C1326,'Smelter Look-up'!$J:$J,0))</f>
        <v>#N/A</v>
      </c>
      <c r="W1326" s="271"/>
      <c r="X1326" s="271">
        <f t="shared" ca="1" si="208"/>
        <v>0</v>
      </c>
      <c r="Y1326" s="271"/>
      <c r="Z1326" s="271"/>
      <c r="AB1326" s="273" t="str">
        <f t="shared" si="209"/>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207"/>
        <v/>
      </c>
      <c r="T1327" s="222" t="str">
        <f ca="1">IF(B1327="","",IF(ISERROR(MATCH($J1327,SorP!$B$1:$B$6230,0)),"",INDIRECT("'SorP'!$A$"&amp;MATCH($J1327,SorP!$B$1:$B$6230,0))))</f>
        <v/>
      </c>
      <c r="U1327" s="238"/>
      <c r="V1327" s="270" t="e">
        <f>IF(C1327="",NA(),MATCH($B1327&amp;$C1327,'Smelter Look-up'!$J:$J,0))</f>
        <v>#N/A</v>
      </c>
      <c r="W1327" s="271"/>
      <c r="X1327" s="271">
        <f t="shared" ca="1" si="208"/>
        <v>0</v>
      </c>
      <c r="Y1327" s="271"/>
      <c r="Z1327" s="271"/>
      <c r="AB1327" s="273" t="str">
        <f t="shared" si="209"/>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207"/>
        <v/>
      </c>
      <c r="T1328" s="222" t="str">
        <f ca="1">IF(B1328="","",IF(ISERROR(MATCH($J1328,SorP!$B$1:$B$6230,0)),"",INDIRECT("'SorP'!$A$"&amp;MATCH($J1328,SorP!$B$1:$B$6230,0))))</f>
        <v/>
      </c>
      <c r="U1328" s="238"/>
      <c r="V1328" s="270" t="e">
        <f>IF(C1328="",NA(),MATCH($B1328&amp;$C1328,'Smelter Look-up'!$J:$J,0))</f>
        <v>#N/A</v>
      </c>
      <c r="W1328" s="271"/>
      <c r="X1328" s="271">
        <f t="shared" ca="1" si="208"/>
        <v>0</v>
      </c>
      <c r="Y1328" s="271"/>
      <c r="Z1328" s="271"/>
      <c r="AB1328" s="273" t="str">
        <f t="shared" si="209"/>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207"/>
        <v/>
      </c>
      <c r="T1329" s="222" t="str">
        <f ca="1">IF(B1329="","",IF(ISERROR(MATCH($J1329,SorP!$B$1:$B$6230,0)),"",INDIRECT("'SorP'!$A$"&amp;MATCH($J1329,SorP!$B$1:$B$6230,0))))</f>
        <v/>
      </c>
      <c r="U1329" s="238"/>
      <c r="V1329" s="270" t="e">
        <f>IF(C1329="",NA(),MATCH($B1329&amp;$C1329,'Smelter Look-up'!$J:$J,0))</f>
        <v>#N/A</v>
      </c>
      <c r="W1329" s="271"/>
      <c r="X1329" s="271">
        <f t="shared" ca="1" si="208"/>
        <v>0</v>
      </c>
      <c r="Y1329" s="271"/>
      <c r="Z1329" s="271"/>
      <c r="AB1329" s="273" t="str">
        <f t="shared" si="209"/>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207"/>
        <v/>
      </c>
      <c r="T1330" s="222" t="str">
        <f ca="1">IF(B1330="","",IF(ISERROR(MATCH($J1330,SorP!$B$1:$B$6230,0)),"",INDIRECT("'SorP'!$A$"&amp;MATCH($J1330,SorP!$B$1:$B$6230,0))))</f>
        <v/>
      </c>
      <c r="U1330" s="238"/>
      <c r="V1330" s="270" t="e">
        <f>IF(C1330="",NA(),MATCH($B1330&amp;$C1330,'Smelter Look-up'!$J:$J,0))</f>
        <v>#N/A</v>
      </c>
      <c r="W1330" s="271"/>
      <c r="X1330" s="271">
        <f t="shared" ca="1" si="208"/>
        <v>0</v>
      </c>
      <c r="Y1330" s="271"/>
      <c r="Z1330" s="271"/>
      <c r="AB1330" s="273" t="str">
        <f t="shared" si="209"/>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207"/>
        <v/>
      </c>
      <c r="T1331" s="222" t="str">
        <f ca="1">IF(B1331="","",IF(ISERROR(MATCH($J1331,SorP!$B$1:$B$6230,0)),"",INDIRECT("'SorP'!$A$"&amp;MATCH($J1331,SorP!$B$1:$B$6230,0))))</f>
        <v/>
      </c>
      <c r="U1331" s="238"/>
      <c r="V1331" s="270" t="e">
        <f>IF(C1331="",NA(),MATCH($B1331&amp;$C1331,'Smelter Look-up'!$J:$J,0))</f>
        <v>#N/A</v>
      </c>
      <c r="W1331" s="271"/>
      <c r="X1331" s="271">
        <f t="shared" ca="1" si="208"/>
        <v>0</v>
      </c>
      <c r="Y1331" s="271"/>
      <c r="Z1331" s="271"/>
      <c r="AB1331" s="273" t="str">
        <f t="shared" si="209"/>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207"/>
        <v/>
      </c>
      <c r="T1332" s="222" t="str">
        <f ca="1">IF(B1332="","",IF(ISERROR(MATCH($J1332,SorP!$B$1:$B$6230,0)),"",INDIRECT("'SorP'!$A$"&amp;MATCH($J1332,SorP!$B$1:$B$6230,0))))</f>
        <v/>
      </c>
      <c r="U1332" s="238"/>
      <c r="V1332" s="270" t="e">
        <f>IF(C1332="",NA(),MATCH($B1332&amp;$C1332,'Smelter Look-up'!$J:$J,0))</f>
        <v>#N/A</v>
      </c>
      <c r="W1332" s="271"/>
      <c r="X1332" s="271">
        <f t="shared" ca="1" si="208"/>
        <v>0</v>
      </c>
      <c r="Y1332" s="271"/>
      <c r="Z1332" s="271"/>
      <c r="AB1332" s="273" t="str">
        <f t="shared" si="209"/>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207"/>
        <v/>
      </c>
      <c r="T1333" s="222" t="str">
        <f ca="1">IF(B1333="","",IF(ISERROR(MATCH($J1333,SorP!$B$1:$B$6230,0)),"",INDIRECT("'SorP'!$A$"&amp;MATCH($J1333,SorP!$B$1:$B$6230,0))))</f>
        <v/>
      </c>
      <c r="U1333" s="238"/>
      <c r="V1333" s="270" t="e">
        <f>IF(C1333="",NA(),MATCH($B1333&amp;$C1333,'Smelter Look-up'!$J:$J,0))</f>
        <v>#N/A</v>
      </c>
      <c r="W1333" s="271"/>
      <c r="X1333" s="271">
        <f t="shared" ca="1" si="208"/>
        <v>0</v>
      </c>
      <c r="Y1333" s="271"/>
      <c r="Z1333" s="271"/>
      <c r="AB1333" s="273" t="str">
        <f t="shared" si="209"/>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207"/>
        <v/>
      </c>
      <c r="T1334" s="222" t="str">
        <f ca="1">IF(B1334="","",IF(ISERROR(MATCH($J1334,SorP!$B$1:$B$6230,0)),"",INDIRECT("'SorP'!$A$"&amp;MATCH($J1334,SorP!$B$1:$B$6230,0))))</f>
        <v/>
      </c>
      <c r="U1334" s="238"/>
      <c r="V1334" s="270" t="e">
        <f>IF(C1334="",NA(),MATCH($B1334&amp;$C1334,'Smelter Look-up'!$J:$J,0))</f>
        <v>#N/A</v>
      </c>
      <c r="W1334" s="271"/>
      <c r="X1334" s="271">
        <f t="shared" ca="1" si="208"/>
        <v>0</v>
      </c>
      <c r="Y1334" s="271"/>
      <c r="Z1334" s="271"/>
      <c r="AB1334" s="273" t="str">
        <f t="shared" si="209"/>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207"/>
        <v/>
      </c>
      <c r="T1335" s="222" t="str">
        <f ca="1">IF(B1335="","",IF(ISERROR(MATCH($J1335,SorP!$B$1:$B$6230,0)),"",INDIRECT("'SorP'!$A$"&amp;MATCH($J1335,SorP!$B$1:$B$6230,0))))</f>
        <v/>
      </c>
      <c r="U1335" s="238"/>
      <c r="V1335" s="270" t="e">
        <f>IF(C1335="",NA(),MATCH($B1335&amp;$C1335,'Smelter Look-up'!$J:$J,0))</f>
        <v>#N/A</v>
      </c>
      <c r="W1335" s="271"/>
      <c r="X1335" s="271">
        <f t="shared" ca="1" si="208"/>
        <v>0</v>
      </c>
      <c r="Y1335" s="271"/>
      <c r="Z1335" s="271"/>
      <c r="AB1335" s="273" t="str">
        <f t="shared" si="209"/>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207"/>
        <v/>
      </c>
      <c r="T1336" s="222" t="str">
        <f ca="1">IF(B1336="","",IF(ISERROR(MATCH($J1336,SorP!$B$1:$B$6230,0)),"",INDIRECT("'SorP'!$A$"&amp;MATCH($J1336,SorP!$B$1:$B$6230,0))))</f>
        <v/>
      </c>
      <c r="U1336" s="238"/>
      <c r="V1336" s="270" t="e">
        <f>IF(C1336="",NA(),MATCH($B1336&amp;$C1336,'Smelter Look-up'!$J:$J,0))</f>
        <v>#N/A</v>
      </c>
      <c r="W1336" s="271"/>
      <c r="X1336" s="271">
        <f t="shared" ca="1" si="208"/>
        <v>0</v>
      </c>
      <c r="Y1336" s="271"/>
      <c r="Z1336" s="271"/>
      <c r="AB1336" s="273" t="str">
        <f t="shared" si="209"/>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ref="S1337:S1367" ca="1" si="210">IF(B1337="","",IF(ISERROR(MATCH($E1337,CL,0)),"Unknown",INDIRECT("'C'!$A$"&amp;MATCH($E1337,CL,0)+1)))</f>
        <v/>
      </c>
      <c r="T1337" s="222" t="str">
        <f ca="1">IF(B1337="","",IF(ISERROR(MATCH($J1337,SorP!$B$1:$B$6230,0)),"",INDIRECT("'SorP'!$A$"&amp;MATCH($J1337,SorP!$B$1:$B$6230,0))))</f>
        <v/>
      </c>
      <c r="U1337" s="238"/>
      <c r="V1337" s="270" t="e">
        <f>IF(C1337="",NA(),MATCH($B1337&amp;$C1337,'Smelter Look-up'!$J:$J,0))</f>
        <v>#N/A</v>
      </c>
      <c r="W1337" s="271"/>
      <c r="X1337" s="271">
        <f t="shared" ref="X1337:X1369" ca="1" si="211">IF(AND(C1337="Smelter not listed",OR(LEN(D1337)=0,LEN(E1337)=0)),1,0)</f>
        <v>0</v>
      </c>
      <c r="Y1337" s="271"/>
      <c r="Z1337" s="271"/>
      <c r="AB1337" s="273" t="str">
        <f t="shared" ref="AB1337:AB1367" si="212">B1337&amp;C1337</f>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210"/>
        <v/>
      </c>
      <c r="T1338" s="222" t="str">
        <f ca="1">IF(B1338="","",IF(ISERROR(MATCH($J1338,SorP!$B$1:$B$6230,0)),"",INDIRECT("'SorP'!$A$"&amp;MATCH($J1338,SorP!$B$1:$B$6230,0))))</f>
        <v/>
      </c>
      <c r="U1338" s="238"/>
      <c r="V1338" s="270" t="e">
        <f>IF(C1338="",NA(),MATCH($B1338&amp;$C1338,'Smelter Look-up'!$J:$J,0))</f>
        <v>#N/A</v>
      </c>
      <c r="W1338" s="271"/>
      <c r="X1338" s="271">
        <f t="shared" ca="1" si="211"/>
        <v>0</v>
      </c>
      <c r="Y1338" s="271"/>
      <c r="Z1338" s="271"/>
      <c r="AB1338" s="273" t="str">
        <f t="shared" si="212"/>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ca="1" si="210"/>
        <v/>
      </c>
      <c r="T1339" s="222" t="str">
        <f ca="1">IF(B1339="","",IF(ISERROR(MATCH($J1339,SorP!$B$1:$B$6230,0)),"",INDIRECT("'SorP'!$A$"&amp;MATCH($J1339,SorP!$B$1:$B$6230,0))))</f>
        <v/>
      </c>
      <c r="U1339" s="238"/>
      <c r="V1339" s="270" t="e">
        <f>IF(C1339="",NA(),MATCH($B1339&amp;$C1339,'Smelter Look-up'!$J:$J,0))</f>
        <v>#N/A</v>
      </c>
      <c r="W1339" s="271"/>
      <c r="X1339" s="271">
        <f t="shared" ca="1" si="211"/>
        <v>0</v>
      </c>
      <c r="Y1339" s="271"/>
      <c r="Z1339" s="271"/>
      <c r="AB1339" s="273" t="str">
        <f t="shared" si="212"/>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ca="1" si="210"/>
        <v/>
      </c>
      <c r="T1340" s="222" t="str">
        <f ca="1">IF(B1340="","",IF(ISERROR(MATCH($J1340,SorP!$B$1:$B$6230,0)),"",INDIRECT("'SorP'!$A$"&amp;MATCH($J1340,SorP!$B$1:$B$6230,0))))</f>
        <v/>
      </c>
      <c r="U1340" s="238"/>
      <c r="V1340" s="270" t="e">
        <f>IF(C1340="",NA(),MATCH($B1340&amp;$C1340,'Smelter Look-up'!$J:$J,0))</f>
        <v>#N/A</v>
      </c>
      <c r="W1340" s="271"/>
      <c r="X1340" s="271">
        <f t="shared" ca="1" si="211"/>
        <v>0</v>
      </c>
      <c r="Y1340" s="271"/>
      <c r="Z1340" s="271"/>
      <c r="AB1340" s="273" t="str">
        <f t="shared" si="212"/>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210"/>
        <v/>
      </c>
      <c r="T1341" s="222" t="str">
        <f ca="1">IF(B1341="","",IF(ISERROR(MATCH($J1341,SorP!$B$1:$B$6230,0)),"",INDIRECT("'SorP'!$A$"&amp;MATCH($J1341,SorP!$B$1:$B$6230,0))))</f>
        <v/>
      </c>
      <c r="U1341" s="238"/>
      <c r="V1341" s="270" t="e">
        <f>IF(C1341="",NA(),MATCH($B1341&amp;$C1341,'Smelter Look-up'!$J:$J,0))</f>
        <v>#N/A</v>
      </c>
      <c r="W1341" s="271"/>
      <c r="X1341" s="271">
        <f t="shared" ca="1" si="211"/>
        <v>0</v>
      </c>
      <c r="Y1341" s="271"/>
      <c r="Z1341" s="271"/>
      <c r="AB1341" s="273" t="str">
        <f t="shared" si="212"/>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210"/>
        <v/>
      </c>
      <c r="T1342" s="222" t="str">
        <f ca="1">IF(B1342="","",IF(ISERROR(MATCH($J1342,SorP!$B$1:$B$6230,0)),"",INDIRECT("'SorP'!$A$"&amp;MATCH($J1342,SorP!$B$1:$B$6230,0))))</f>
        <v/>
      </c>
      <c r="U1342" s="238"/>
      <c r="V1342" s="270" t="e">
        <f>IF(C1342="",NA(),MATCH($B1342&amp;$C1342,'Smelter Look-up'!$J:$J,0))</f>
        <v>#N/A</v>
      </c>
      <c r="W1342" s="271"/>
      <c r="X1342" s="271">
        <f t="shared" ca="1" si="211"/>
        <v>0</v>
      </c>
      <c r="Y1342" s="271"/>
      <c r="Z1342" s="271"/>
      <c r="AB1342" s="273" t="str">
        <f t="shared" si="212"/>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210"/>
        <v/>
      </c>
      <c r="T1343" s="222" t="str">
        <f ca="1">IF(B1343="","",IF(ISERROR(MATCH($J1343,SorP!$B$1:$B$6230,0)),"",INDIRECT("'SorP'!$A$"&amp;MATCH($J1343,SorP!$B$1:$B$6230,0))))</f>
        <v/>
      </c>
      <c r="U1343" s="238"/>
      <c r="V1343" s="270" t="e">
        <f>IF(C1343="",NA(),MATCH($B1343&amp;$C1343,'Smelter Look-up'!$J:$J,0))</f>
        <v>#N/A</v>
      </c>
      <c r="W1343" s="271"/>
      <c r="X1343" s="271">
        <f t="shared" ca="1" si="211"/>
        <v>0</v>
      </c>
      <c r="Y1343" s="271"/>
      <c r="Z1343" s="271"/>
      <c r="AB1343" s="273" t="str">
        <f t="shared" si="212"/>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210"/>
        <v/>
      </c>
      <c r="T1344" s="222" t="str">
        <f ca="1">IF(B1344="","",IF(ISERROR(MATCH($J1344,SorP!$B$1:$B$6230,0)),"",INDIRECT("'SorP'!$A$"&amp;MATCH($J1344,SorP!$B$1:$B$6230,0))))</f>
        <v/>
      </c>
      <c r="U1344" s="238"/>
      <c r="V1344" s="270" t="e">
        <f>IF(C1344="",NA(),MATCH($B1344&amp;$C1344,'Smelter Look-up'!$J:$J,0))</f>
        <v>#N/A</v>
      </c>
      <c r="W1344" s="271"/>
      <c r="X1344" s="271">
        <f t="shared" ca="1" si="211"/>
        <v>0</v>
      </c>
      <c r="Y1344" s="271"/>
      <c r="Z1344" s="271"/>
      <c r="AB1344" s="273" t="str">
        <f t="shared" si="212"/>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210"/>
        <v/>
      </c>
      <c r="T1345" s="222" t="str">
        <f ca="1">IF(B1345="","",IF(ISERROR(MATCH($J1345,SorP!$B$1:$B$6230,0)),"",INDIRECT("'SorP'!$A$"&amp;MATCH($J1345,SorP!$B$1:$B$6230,0))))</f>
        <v/>
      </c>
      <c r="U1345" s="238"/>
      <c r="V1345" s="270" t="e">
        <f>IF(C1345="",NA(),MATCH($B1345&amp;$C1345,'Smelter Look-up'!$J:$J,0))</f>
        <v>#N/A</v>
      </c>
      <c r="W1345" s="271"/>
      <c r="X1345" s="271">
        <f t="shared" ca="1" si="211"/>
        <v>0</v>
      </c>
      <c r="Y1345" s="271"/>
      <c r="Z1345" s="271"/>
      <c r="AB1345" s="273" t="str">
        <f t="shared" si="212"/>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210"/>
        <v/>
      </c>
      <c r="T1346" s="222" t="str">
        <f ca="1">IF(B1346="","",IF(ISERROR(MATCH($J1346,SorP!$B$1:$B$6230,0)),"",INDIRECT("'SorP'!$A$"&amp;MATCH($J1346,SorP!$B$1:$B$6230,0))))</f>
        <v/>
      </c>
      <c r="U1346" s="238"/>
      <c r="V1346" s="270" t="e">
        <f>IF(C1346="",NA(),MATCH($B1346&amp;$C1346,'Smelter Look-up'!$J:$J,0))</f>
        <v>#N/A</v>
      </c>
      <c r="W1346" s="271"/>
      <c r="X1346" s="271">
        <f t="shared" ca="1" si="211"/>
        <v>0</v>
      </c>
      <c r="Y1346" s="271"/>
      <c r="Z1346" s="271"/>
      <c r="AB1346" s="273" t="str">
        <f t="shared" si="212"/>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210"/>
        <v/>
      </c>
      <c r="T1347" s="222" t="str">
        <f ca="1">IF(B1347="","",IF(ISERROR(MATCH($J1347,SorP!$B$1:$B$6230,0)),"",INDIRECT("'SorP'!$A$"&amp;MATCH($J1347,SorP!$B$1:$B$6230,0))))</f>
        <v/>
      </c>
      <c r="U1347" s="238"/>
      <c r="V1347" s="270" t="e">
        <f>IF(C1347="",NA(),MATCH($B1347&amp;$C1347,'Smelter Look-up'!$J:$J,0))</f>
        <v>#N/A</v>
      </c>
      <c r="W1347" s="271"/>
      <c r="X1347" s="271">
        <f t="shared" ca="1" si="211"/>
        <v>0</v>
      </c>
      <c r="Y1347" s="271"/>
      <c r="Z1347" s="271"/>
      <c r="AB1347" s="273" t="str">
        <f t="shared" si="212"/>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210"/>
        <v/>
      </c>
      <c r="T1348" s="222" t="str">
        <f ca="1">IF(B1348="","",IF(ISERROR(MATCH($J1348,SorP!$B$1:$B$6230,0)),"",INDIRECT("'SorP'!$A$"&amp;MATCH($J1348,SorP!$B$1:$B$6230,0))))</f>
        <v/>
      </c>
      <c r="U1348" s="238"/>
      <c r="V1348" s="270" t="e">
        <f>IF(C1348="",NA(),MATCH($B1348&amp;$C1348,'Smelter Look-up'!$J:$J,0))</f>
        <v>#N/A</v>
      </c>
      <c r="W1348" s="271"/>
      <c r="X1348" s="271">
        <f t="shared" ca="1" si="211"/>
        <v>0</v>
      </c>
      <c r="Y1348" s="271"/>
      <c r="Z1348" s="271"/>
      <c r="AB1348" s="273" t="str">
        <f t="shared" si="212"/>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210"/>
        <v/>
      </c>
      <c r="T1349" s="222" t="str">
        <f ca="1">IF(B1349="","",IF(ISERROR(MATCH($J1349,SorP!$B$1:$B$6230,0)),"",INDIRECT("'SorP'!$A$"&amp;MATCH($J1349,SorP!$B$1:$B$6230,0))))</f>
        <v/>
      </c>
      <c r="U1349" s="238"/>
      <c r="V1349" s="270" t="e">
        <f>IF(C1349="",NA(),MATCH($B1349&amp;$C1349,'Smelter Look-up'!$J:$J,0))</f>
        <v>#N/A</v>
      </c>
      <c r="W1349" s="271"/>
      <c r="X1349" s="271">
        <f t="shared" ca="1" si="211"/>
        <v>0</v>
      </c>
      <c r="Y1349" s="271"/>
      <c r="Z1349" s="271"/>
      <c r="AB1349" s="273" t="str">
        <f t="shared" si="212"/>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210"/>
        <v/>
      </c>
      <c r="T1350" s="222" t="str">
        <f ca="1">IF(B1350="","",IF(ISERROR(MATCH($J1350,SorP!$B$1:$B$6230,0)),"",INDIRECT("'SorP'!$A$"&amp;MATCH($J1350,SorP!$B$1:$B$6230,0))))</f>
        <v/>
      </c>
      <c r="U1350" s="238"/>
      <c r="V1350" s="270" t="e">
        <f>IF(C1350="",NA(),MATCH($B1350&amp;$C1350,'Smelter Look-up'!$J:$J,0))</f>
        <v>#N/A</v>
      </c>
      <c r="W1350" s="271"/>
      <c r="X1350" s="271">
        <f t="shared" ca="1" si="211"/>
        <v>0</v>
      </c>
      <c r="Y1350" s="271"/>
      <c r="Z1350" s="271"/>
      <c r="AB1350" s="273" t="str">
        <f t="shared" si="212"/>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210"/>
        <v/>
      </c>
      <c r="T1351" s="222" t="str">
        <f ca="1">IF(B1351="","",IF(ISERROR(MATCH($J1351,SorP!$B$1:$B$6230,0)),"",INDIRECT("'SorP'!$A$"&amp;MATCH($J1351,SorP!$B$1:$B$6230,0))))</f>
        <v/>
      </c>
      <c r="U1351" s="238"/>
      <c r="V1351" s="270" t="e">
        <f>IF(C1351="",NA(),MATCH($B1351&amp;$C1351,'Smelter Look-up'!$J:$J,0))</f>
        <v>#N/A</v>
      </c>
      <c r="W1351" s="271"/>
      <c r="X1351" s="271">
        <f t="shared" ca="1" si="211"/>
        <v>0</v>
      </c>
      <c r="Y1351" s="271"/>
      <c r="Z1351" s="271"/>
      <c r="AB1351" s="273" t="str">
        <f t="shared" si="212"/>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210"/>
        <v/>
      </c>
      <c r="T1352" s="222" t="str">
        <f ca="1">IF(B1352="","",IF(ISERROR(MATCH($J1352,SorP!$B$1:$B$6230,0)),"",INDIRECT("'SorP'!$A$"&amp;MATCH($J1352,SorP!$B$1:$B$6230,0))))</f>
        <v/>
      </c>
      <c r="U1352" s="238"/>
      <c r="V1352" s="270" t="e">
        <f>IF(C1352="",NA(),MATCH($B1352&amp;$C1352,'Smelter Look-up'!$J:$J,0))</f>
        <v>#N/A</v>
      </c>
      <c r="W1352" s="271"/>
      <c r="X1352" s="271">
        <f t="shared" ca="1" si="211"/>
        <v>0</v>
      </c>
      <c r="Y1352" s="271"/>
      <c r="Z1352" s="271"/>
      <c r="AB1352" s="273" t="str">
        <f t="shared" si="212"/>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210"/>
        <v/>
      </c>
      <c r="T1353" s="222" t="str">
        <f ca="1">IF(B1353="","",IF(ISERROR(MATCH($J1353,SorP!$B$1:$B$6230,0)),"",INDIRECT("'SorP'!$A$"&amp;MATCH($J1353,SorP!$B$1:$B$6230,0))))</f>
        <v/>
      </c>
      <c r="U1353" s="238"/>
      <c r="V1353" s="270" t="e">
        <f>IF(C1353="",NA(),MATCH($B1353&amp;$C1353,'Smelter Look-up'!$J:$J,0))</f>
        <v>#N/A</v>
      </c>
      <c r="W1353" s="271"/>
      <c r="X1353" s="271">
        <f t="shared" ca="1" si="211"/>
        <v>0</v>
      </c>
      <c r="Y1353" s="271"/>
      <c r="Z1353" s="271"/>
      <c r="AB1353" s="273" t="str">
        <f t="shared" si="212"/>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210"/>
        <v/>
      </c>
      <c r="T1354" s="222" t="str">
        <f ca="1">IF(B1354="","",IF(ISERROR(MATCH($J1354,SorP!$B$1:$B$6230,0)),"",INDIRECT("'SorP'!$A$"&amp;MATCH($J1354,SorP!$B$1:$B$6230,0))))</f>
        <v/>
      </c>
      <c r="U1354" s="238"/>
      <c r="V1354" s="270" t="e">
        <f>IF(C1354="",NA(),MATCH($B1354&amp;$C1354,'Smelter Look-up'!$J:$J,0))</f>
        <v>#N/A</v>
      </c>
      <c r="W1354" s="271"/>
      <c r="X1354" s="271">
        <f t="shared" ca="1" si="211"/>
        <v>0</v>
      </c>
      <c r="Y1354" s="271"/>
      <c r="Z1354" s="271"/>
      <c r="AB1354" s="273" t="str">
        <f t="shared" si="212"/>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210"/>
        <v/>
      </c>
      <c r="T1355" s="222" t="str">
        <f ca="1">IF(B1355="","",IF(ISERROR(MATCH($J1355,SorP!$B$1:$B$6230,0)),"",INDIRECT("'SorP'!$A$"&amp;MATCH($J1355,SorP!$B$1:$B$6230,0))))</f>
        <v/>
      </c>
      <c r="U1355" s="238"/>
      <c r="V1355" s="270" t="e">
        <f>IF(C1355="",NA(),MATCH($B1355&amp;$C1355,'Smelter Look-up'!$J:$J,0))</f>
        <v>#N/A</v>
      </c>
      <c r="W1355" s="271"/>
      <c r="X1355" s="271">
        <f t="shared" ca="1" si="211"/>
        <v>0</v>
      </c>
      <c r="Y1355" s="271"/>
      <c r="Z1355" s="271"/>
      <c r="AB1355" s="273" t="str">
        <f t="shared" si="212"/>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210"/>
        <v/>
      </c>
      <c r="T1356" s="222" t="str">
        <f ca="1">IF(B1356="","",IF(ISERROR(MATCH($J1356,SorP!$B$1:$B$6230,0)),"",INDIRECT("'SorP'!$A$"&amp;MATCH($J1356,SorP!$B$1:$B$6230,0))))</f>
        <v/>
      </c>
      <c r="U1356" s="238"/>
      <c r="V1356" s="270" t="e">
        <f>IF(C1356="",NA(),MATCH($B1356&amp;$C1356,'Smelter Look-up'!$J:$J,0))</f>
        <v>#N/A</v>
      </c>
      <c r="W1356" s="271"/>
      <c r="X1356" s="271">
        <f t="shared" ca="1" si="211"/>
        <v>0</v>
      </c>
      <c r="Y1356" s="271"/>
      <c r="Z1356" s="271"/>
      <c r="AB1356" s="273" t="str">
        <f t="shared" si="212"/>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210"/>
        <v/>
      </c>
      <c r="T1357" s="222" t="str">
        <f ca="1">IF(B1357="","",IF(ISERROR(MATCH($J1357,SorP!$B$1:$B$6230,0)),"",INDIRECT("'SorP'!$A$"&amp;MATCH($J1357,SorP!$B$1:$B$6230,0))))</f>
        <v/>
      </c>
      <c r="U1357" s="238"/>
      <c r="V1357" s="270" t="e">
        <f>IF(C1357="",NA(),MATCH($B1357&amp;$C1357,'Smelter Look-up'!$J:$J,0))</f>
        <v>#N/A</v>
      </c>
      <c r="W1357" s="271"/>
      <c r="X1357" s="271">
        <f t="shared" ca="1" si="211"/>
        <v>0</v>
      </c>
      <c r="Y1357" s="271"/>
      <c r="Z1357" s="271"/>
      <c r="AB1357" s="273" t="str">
        <f t="shared" si="212"/>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210"/>
        <v/>
      </c>
      <c r="T1358" s="222" t="str">
        <f ca="1">IF(B1358="","",IF(ISERROR(MATCH($J1358,SorP!$B$1:$B$6230,0)),"",INDIRECT("'SorP'!$A$"&amp;MATCH($J1358,SorP!$B$1:$B$6230,0))))</f>
        <v/>
      </c>
      <c r="U1358" s="238"/>
      <c r="V1358" s="270" t="e">
        <f>IF(C1358="",NA(),MATCH($B1358&amp;$C1358,'Smelter Look-up'!$J:$J,0))</f>
        <v>#N/A</v>
      </c>
      <c r="W1358" s="271"/>
      <c r="X1358" s="271">
        <f t="shared" ca="1" si="211"/>
        <v>0</v>
      </c>
      <c r="Y1358" s="271"/>
      <c r="Z1358" s="271"/>
      <c r="AB1358" s="273" t="str">
        <f t="shared" si="212"/>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210"/>
        <v/>
      </c>
      <c r="T1359" s="222" t="str">
        <f ca="1">IF(B1359="","",IF(ISERROR(MATCH($J1359,SorP!$B$1:$B$6230,0)),"",INDIRECT("'SorP'!$A$"&amp;MATCH($J1359,SorP!$B$1:$B$6230,0))))</f>
        <v/>
      </c>
      <c r="U1359" s="238"/>
      <c r="V1359" s="270" t="e">
        <f>IF(C1359="",NA(),MATCH($B1359&amp;$C1359,'Smelter Look-up'!$J:$J,0))</f>
        <v>#N/A</v>
      </c>
      <c r="W1359" s="271"/>
      <c r="X1359" s="271">
        <f t="shared" ca="1" si="211"/>
        <v>0</v>
      </c>
      <c r="Y1359" s="271"/>
      <c r="Z1359" s="271"/>
      <c r="AB1359" s="273" t="str">
        <f t="shared" si="212"/>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210"/>
        <v/>
      </c>
      <c r="T1360" s="222" t="str">
        <f ca="1">IF(B1360="","",IF(ISERROR(MATCH($J1360,SorP!$B$1:$B$6230,0)),"",INDIRECT("'SorP'!$A$"&amp;MATCH($J1360,SorP!$B$1:$B$6230,0))))</f>
        <v/>
      </c>
      <c r="U1360" s="238"/>
      <c r="V1360" s="270" t="e">
        <f>IF(C1360="",NA(),MATCH($B1360&amp;$C1360,'Smelter Look-up'!$J:$J,0))</f>
        <v>#N/A</v>
      </c>
      <c r="W1360" s="271"/>
      <c r="X1360" s="271">
        <f t="shared" ca="1" si="211"/>
        <v>0</v>
      </c>
      <c r="Y1360" s="271"/>
      <c r="Z1360" s="271"/>
      <c r="AB1360" s="273" t="str">
        <f t="shared" si="212"/>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210"/>
        <v/>
      </c>
      <c r="T1361" s="222" t="str">
        <f ca="1">IF(B1361="","",IF(ISERROR(MATCH($J1361,SorP!$B$1:$B$6230,0)),"",INDIRECT("'SorP'!$A$"&amp;MATCH($J1361,SorP!$B$1:$B$6230,0))))</f>
        <v/>
      </c>
      <c r="U1361" s="238"/>
      <c r="V1361" s="270" t="e">
        <f>IF(C1361="",NA(),MATCH($B1361&amp;$C1361,'Smelter Look-up'!$J:$J,0))</f>
        <v>#N/A</v>
      </c>
      <c r="W1361" s="271"/>
      <c r="X1361" s="271">
        <f t="shared" ca="1" si="211"/>
        <v>0</v>
      </c>
      <c r="Y1361" s="271"/>
      <c r="Z1361" s="271"/>
      <c r="AB1361" s="273" t="str">
        <f t="shared" si="212"/>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210"/>
        <v/>
      </c>
      <c r="T1362" s="222" t="str">
        <f ca="1">IF(B1362="","",IF(ISERROR(MATCH($J1362,SorP!$B$1:$B$6230,0)),"",INDIRECT("'SorP'!$A$"&amp;MATCH($J1362,SorP!$B$1:$B$6230,0))))</f>
        <v/>
      </c>
      <c r="U1362" s="238"/>
      <c r="V1362" s="270" t="e">
        <f>IF(C1362="",NA(),MATCH($B1362&amp;$C1362,'Smelter Look-up'!$J:$J,0))</f>
        <v>#N/A</v>
      </c>
      <c r="W1362" s="271"/>
      <c r="X1362" s="271">
        <f t="shared" ca="1" si="211"/>
        <v>0</v>
      </c>
      <c r="Y1362" s="271"/>
      <c r="Z1362" s="271"/>
      <c r="AB1362" s="273" t="str">
        <f t="shared" si="212"/>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210"/>
        <v/>
      </c>
      <c r="T1363" s="222" t="str">
        <f ca="1">IF(B1363="","",IF(ISERROR(MATCH($J1363,SorP!$B$1:$B$6230,0)),"",INDIRECT("'SorP'!$A$"&amp;MATCH($J1363,SorP!$B$1:$B$6230,0))))</f>
        <v/>
      </c>
      <c r="U1363" s="238"/>
      <c r="V1363" s="270" t="e">
        <f>IF(C1363="",NA(),MATCH($B1363&amp;$C1363,'Smelter Look-up'!$J:$J,0))</f>
        <v>#N/A</v>
      </c>
      <c r="W1363" s="271"/>
      <c r="X1363" s="271">
        <f t="shared" ca="1" si="211"/>
        <v>0</v>
      </c>
      <c r="Y1363" s="271"/>
      <c r="Z1363" s="271"/>
      <c r="AB1363" s="273" t="str">
        <f t="shared" si="212"/>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210"/>
        <v/>
      </c>
      <c r="T1364" s="222" t="str">
        <f ca="1">IF(B1364="","",IF(ISERROR(MATCH($J1364,SorP!$B$1:$B$6230,0)),"",INDIRECT("'SorP'!$A$"&amp;MATCH($J1364,SorP!$B$1:$B$6230,0))))</f>
        <v/>
      </c>
      <c r="U1364" s="238"/>
      <c r="V1364" s="270" t="e">
        <f>IF(C1364="",NA(),MATCH($B1364&amp;$C1364,'Smelter Look-up'!$J:$J,0))</f>
        <v>#N/A</v>
      </c>
      <c r="W1364" s="271"/>
      <c r="X1364" s="271">
        <f t="shared" ca="1" si="211"/>
        <v>0</v>
      </c>
      <c r="Y1364" s="271"/>
      <c r="Z1364" s="271"/>
      <c r="AB1364" s="273" t="str">
        <f t="shared" si="212"/>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210"/>
        <v/>
      </c>
      <c r="T1365" s="222" t="str">
        <f ca="1">IF(B1365="","",IF(ISERROR(MATCH($J1365,SorP!$B$1:$B$6230,0)),"",INDIRECT("'SorP'!$A$"&amp;MATCH($J1365,SorP!$B$1:$B$6230,0))))</f>
        <v/>
      </c>
      <c r="U1365" s="238"/>
      <c r="V1365" s="270" t="e">
        <f>IF(C1365="",NA(),MATCH($B1365&amp;$C1365,'Smelter Look-up'!$J:$J,0))</f>
        <v>#N/A</v>
      </c>
      <c r="W1365" s="271"/>
      <c r="X1365" s="271">
        <f t="shared" ca="1" si="211"/>
        <v>0</v>
      </c>
      <c r="Y1365" s="271"/>
      <c r="Z1365" s="271"/>
      <c r="AB1365" s="273" t="str">
        <f t="shared" si="212"/>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210"/>
        <v/>
      </c>
      <c r="T1366" s="222" t="str">
        <f ca="1">IF(B1366="","",IF(ISERROR(MATCH($J1366,SorP!$B$1:$B$6230,0)),"",INDIRECT("'SorP'!$A$"&amp;MATCH($J1366,SorP!$B$1:$B$6230,0))))</f>
        <v/>
      </c>
      <c r="U1366" s="238"/>
      <c r="V1366" s="270" t="e">
        <f>IF(C1366="",NA(),MATCH($B1366&amp;$C1366,'Smelter Look-up'!$J:$J,0))</f>
        <v>#N/A</v>
      </c>
      <c r="W1366" s="271"/>
      <c r="X1366" s="271">
        <f t="shared" ca="1" si="211"/>
        <v>0</v>
      </c>
      <c r="Y1366" s="271"/>
      <c r="Z1366" s="271"/>
      <c r="AB1366" s="273" t="str">
        <f t="shared" si="212"/>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210"/>
        <v/>
      </c>
      <c r="T1367" s="222" t="str">
        <f ca="1">IF(B1367="","",IF(ISERROR(MATCH($J1367,SorP!$B$1:$B$6230,0)),"",INDIRECT("'SorP'!$A$"&amp;MATCH($J1367,SorP!$B$1:$B$6230,0))))</f>
        <v/>
      </c>
      <c r="U1367" s="238"/>
      <c r="V1367" s="270" t="e">
        <f>IF(C1367="",NA(),MATCH($B1367&amp;$C1367,'Smelter Look-up'!$J:$J,0))</f>
        <v>#N/A</v>
      </c>
      <c r="W1367" s="271"/>
      <c r="X1367" s="271">
        <f t="shared" ca="1" si="211"/>
        <v>0</v>
      </c>
      <c r="Y1367" s="271"/>
      <c r="Z1367" s="271"/>
      <c r="AB1367" s="273" t="str">
        <f t="shared" si="212"/>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ref="S1368" ca="1" si="213">IF(B1368="","",IF(ISERROR(MATCH($E1368,CL,0)),"Unknown",INDIRECT("'C'!$A$"&amp;MATCH($E1368,CL,0)+1)))</f>
        <v/>
      </c>
      <c r="T1368" s="222" t="str">
        <f ca="1">IF(B1368="","",IF(ISERROR(MATCH($J1368,SorP!$B$1:$B$6230,0)),"",INDIRECT("'SorP'!$A$"&amp;MATCH($J1368,SorP!$B$1:$B$6230,0))))</f>
        <v/>
      </c>
      <c r="U1368" s="238"/>
      <c r="V1368" s="270" t="e">
        <f>IF(C1368="",NA(),MATCH($B1368&amp;$C1368,'Smelter Look-up'!$J:$J,0))</f>
        <v>#N/A</v>
      </c>
      <c r="W1368" s="271"/>
      <c r="X1368" s="271">
        <f t="shared" ca="1" si="211"/>
        <v>0</v>
      </c>
      <c r="Y1368" s="271"/>
      <c r="Z1368" s="271"/>
      <c r="AB1368" s="273" t="str">
        <f t="shared" ref="AB1368" si="214">B1368&amp;C1368</f>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ca="1">IF(B1369="","",IF(ISERROR(MATCH($E1369,CL,0)),"Unknown",INDIRECT("'C'!$A$"&amp;MATCH($E1369,CL,0)+1)))</f>
        <v/>
      </c>
      <c r="T1369" s="222" t="str">
        <f ca="1">IF(B1369="","",IF(ISERROR(MATCH($J1369,SorP!$B$1:$B$6230,0)),"",INDIRECT("'SorP'!$A$"&amp;MATCH($J1369,SorP!$B$1:$B$6230,0))))</f>
        <v/>
      </c>
      <c r="U1369" s="238"/>
      <c r="V1369" s="270" t="e">
        <f>IF(C1369="",NA(),MATCH($B1369&amp;$C1369,'Smelter Look-up'!$J:$J,0))</f>
        <v>#N/A</v>
      </c>
      <c r="W1369" s="271"/>
      <c r="X1369" s="271">
        <f t="shared" ca="1" si="211"/>
        <v>0</v>
      </c>
      <c r="Y1369" s="271"/>
      <c r="Z1369" s="271"/>
      <c r="AB1369" s="273" t="str">
        <f>B1369&amp;C1369</f>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ref="S1370" ca="1" si="215">IF(B1370="","",IF(ISERROR(MATCH($E1370,CL,0)),"Unknown",INDIRECT("'C'!$A$"&amp;MATCH($E1370,CL,0)+1)))</f>
        <v/>
      </c>
      <c r="T1370" s="222" t="str">
        <f ca="1">IF(B1370="","",IF(ISERROR(MATCH($J1370,SorP!$B$1:$B$6230,0)),"",INDIRECT("'SorP'!$A$"&amp;MATCH($J1370,SorP!$B$1:$B$6230,0))))</f>
        <v/>
      </c>
      <c r="U1370" s="238"/>
      <c r="V1370" s="270" t="e">
        <f>IF(C1370="",NA(),MATCH($B1370&amp;$C1370,'Smelter Look-up'!$J:$J,0))</f>
        <v>#N/A</v>
      </c>
      <c r="W1370" s="271"/>
      <c r="X1370" s="271"/>
      <c r="Y1370" s="271"/>
      <c r="Z1370" s="271"/>
      <c r="AB1370" s="273"/>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ref="S1371:S1382" ca="1" si="216">IF(B1371="","",IF(ISERROR(MATCH($E1371,CL,0)),"Unknown",INDIRECT("'C'!$A$"&amp;MATCH($E1371,CL,0)+1)))</f>
        <v/>
      </c>
      <c r="T1371" s="222" t="str">
        <f ca="1">IF(B1371="","",IF(ISERROR(MATCH($J1371,SorP!$B$1:$B$6230,0)),"",INDIRECT("'SorP'!$A$"&amp;MATCH($J1371,SorP!$B$1:$B$6230,0))))</f>
        <v/>
      </c>
      <c r="U1371" s="238"/>
      <c r="V1371" s="270" t="e">
        <f>IF(C1371="",NA(),MATCH($B1371&amp;$C1371,'Smelter Look-up'!$J:$J,0))</f>
        <v>#N/A</v>
      </c>
      <c r="W1371" s="271"/>
      <c r="X1371" s="271"/>
      <c r="Y1371" s="271"/>
      <c r="Z1371" s="271"/>
      <c r="AB1371" s="273"/>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ca="1" si="216"/>
        <v/>
      </c>
      <c r="T1372" s="222" t="str">
        <f ca="1">IF(B1372="","",IF(ISERROR(MATCH($J1372,SorP!$B$1:$B$6230,0)),"",INDIRECT("'SorP'!$A$"&amp;MATCH($J1372,SorP!$B$1:$B$6230,0))))</f>
        <v/>
      </c>
      <c r="U1372" s="238"/>
      <c r="V1372" s="270" t="e">
        <f>IF(C1372="",NA(),MATCH($B1372&amp;$C1372,'Smelter Look-up'!$J:$J,0))</f>
        <v>#N/A</v>
      </c>
      <c r="W1372" s="271"/>
      <c r="X1372" s="271"/>
      <c r="Y1372" s="271"/>
      <c r="Z1372" s="271"/>
      <c r="AB1372" s="273"/>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216"/>
        <v/>
      </c>
      <c r="T1373" s="222" t="str">
        <f ca="1">IF(B1373="","",IF(ISERROR(MATCH($J1373,SorP!$B$1:$B$6230,0)),"",INDIRECT("'SorP'!$A$"&amp;MATCH($J1373,SorP!$B$1:$B$6230,0))))</f>
        <v/>
      </c>
      <c r="U1373" s="238"/>
      <c r="V1373" s="270" t="e">
        <f>IF(C1373="",NA(),MATCH($B1373&amp;$C1373,'Smelter Look-up'!$J:$J,0))</f>
        <v>#N/A</v>
      </c>
      <c r="W1373" s="271"/>
      <c r="X1373" s="271"/>
      <c r="Y1373" s="271"/>
      <c r="Z1373" s="271"/>
      <c r="AB1373" s="273"/>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216"/>
        <v/>
      </c>
      <c r="T1374" s="222" t="str">
        <f ca="1">IF(B1374="","",IF(ISERROR(MATCH($J1374,SorP!$B$1:$B$6230,0)),"",INDIRECT("'SorP'!$A$"&amp;MATCH($J1374,SorP!$B$1:$B$6230,0))))</f>
        <v/>
      </c>
      <c r="U1374" s="238"/>
      <c r="V1374" s="270" t="e">
        <f>IF(C1374="",NA(),MATCH($B1374&amp;$C1374,'Smelter Look-up'!$J:$J,0))</f>
        <v>#N/A</v>
      </c>
      <c r="W1374" s="271"/>
      <c r="X1374" s="271"/>
      <c r="Y1374" s="271"/>
      <c r="Z1374" s="271"/>
      <c r="AB1374" s="273"/>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216"/>
        <v/>
      </c>
      <c r="T1375" s="222" t="str">
        <f ca="1">IF(B1375="","",IF(ISERROR(MATCH($J1375,SorP!$B$1:$B$6230,0)),"",INDIRECT("'SorP'!$A$"&amp;MATCH($J1375,SorP!$B$1:$B$6230,0))))</f>
        <v/>
      </c>
      <c r="U1375" s="238"/>
      <c r="V1375" s="270" t="e">
        <f>IF(C1375="",NA(),MATCH($B1375&amp;$C1375,'Smelter Look-up'!$J:$J,0))</f>
        <v>#N/A</v>
      </c>
      <c r="W1375" s="271"/>
      <c r="X1375" s="271"/>
      <c r="Y1375" s="271"/>
      <c r="Z1375" s="271"/>
      <c r="AB1375" s="273"/>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216"/>
        <v/>
      </c>
      <c r="T1376" s="222" t="str">
        <f ca="1">IF(B1376="","",IF(ISERROR(MATCH($J1376,SorP!$B$1:$B$6230,0)),"",INDIRECT("'SorP'!$A$"&amp;MATCH($J1376,SorP!$B$1:$B$6230,0))))</f>
        <v/>
      </c>
      <c r="U1376" s="238"/>
      <c r="V1376" s="270" t="e">
        <f>IF(C1376="",NA(),MATCH($B1376&amp;$C1376,'Smelter Look-up'!$J:$J,0))</f>
        <v>#N/A</v>
      </c>
      <c r="W1376" s="271"/>
      <c r="X1376" s="271"/>
      <c r="Y1376" s="271"/>
      <c r="Z1376" s="271"/>
      <c r="AB1376" s="273"/>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216"/>
        <v/>
      </c>
      <c r="T1377" s="222" t="str">
        <f ca="1">IF(B1377="","",IF(ISERROR(MATCH($J1377,SorP!$B$1:$B$6230,0)),"",INDIRECT("'SorP'!$A$"&amp;MATCH($J1377,SorP!$B$1:$B$6230,0))))</f>
        <v/>
      </c>
      <c r="U1377" s="238"/>
      <c r="V1377" s="270" t="e">
        <f>IF(C1377="",NA(),MATCH($B1377&amp;$C1377,'Smelter Look-up'!$J:$J,0))</f>
        <v>#N/A</v>
      </c>
      <c r="W1377" s="271"/>
      <c r="X1377" s="271"/>
      <c r="Y1377" s="271"/>
      <c r="Z1377" s="271"/>
      <c r="AB1377" s="273"/>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216"/>
        <v/>
      </c>
      <c r="T1378" s="222" t="str">
        <f ca="1">IF(B1378="","",IF(ISERROR(MATCH($J1378,SorP!$B$1:$B$6230,0)),"",INDIRECT("'SorP'!$A$"&amp;MATCH($J1378,SorP!$B$1:$B$6230,0))))</f>
        <v/>
      </c>
      <c r="U1378" s="238"/>
      <c r="V1378" s="270" t="e">
        <f>IF(C1378="",NA(),MATCH($B1378&amp;$C1378,'Smelter Look-up'!$J:$J,0))</f>
        <v>#N/A</v>
      </c>
      <c r="W1378" s="271"/>
      <c r="X1378" s="271"/>
      <c r="Y1378" s="271"/>
      <c r="Z1378" s="271"/>
      <c r="AB1378" s="273"/>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216"/>
        <v/>
      </c>
      <c r="T1379" s="222" t="str">
        <f ca="1">IF(B1379="","",IF(ISERROR(MATCH($J1379,SorP!$B$1:$B$6230,0)),"",INDIRECT("'SorP'!$A$"&amp;MATCH($J1379,SorP!$B$1:$B$6230,0))))</f>
        <v/>
      </c>
      <c r="U1379" s="238"/>
      <c r="V1379" s="270" t="e">
        <f>IF(C1379="",NA(),MATCH($B1379&amp;$C1379,'Smelter Look-up'!$J:$J,0))</f>
        <v>#N/A</v>
      </c>
      <c r="W1379" s="271"/>
      <c r="X1379" s="271"/>
      <c r="Y1379" s="271"/>
      <c r="Z1379" s="271"/>
      <c r="AB1379" s="273"/>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216"/>
        <v/>
      </c>
      <c r="T1380" s="222" t="str">
        <f ca="1">IF(B1380="","",IF(ISERROR(MATCH($J1380,SorP!$B$1:$B$6230,0)),"",INDIRECT("'SorP'!$A$"&amp;MATCH($J1380,SorP!$B$1:$B$6230,0))))</f>
        <v/>
      </c>
      <c r="U1380" s="238"/>
      <c r="V1380" s="270" t="e">
        <f>IF(C1380="",NA(),MATCH($B1380&amp;$C1380,'Smelter Look-up'!$J:$J,0))</f>
        <v>#N/A</v>
      </c>
      <c r="W1380" s="271"/>
      <c r="X1380" s="271"/>
      <c r="Y1380" s="271"/>
      <c r="Z1380" s="271"/>
      <c r="AB1380" s="273"/>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216"/>
        <v/>
      </c>
      <c r="T1381" s="222" t="str">
        <f ca="1">IF(B1381="","",IF(ISERROR(MATCH($J1381,SorP!$B$1:$B$6230,0)),"",INDIRECT("'SorP'!$A$"&amp;MATCH($J1381,SorP!$B$1:$B$6230,0))))</f>
        <v/>
      </c>
      <c r="U1381" s="238"/>
      <c r="V1381" s="270" t="e">
        <f>IF(C1381="",NA(),MATCH($B1381&amp;$C1381,'Smelter Look-up'!$J:$J,0))</f>
        <v>#N/A</v>
      </c>
      <c r="W1381" s="271"/>
      <c r="X1381" s="271">
        <f ca="1">IF(AND(C1381="Smelter not listed",OR(LEN(D1381)=0,LEN(E1381)=0)),1,0)</f>
        <v>0</v>
      </c>
      <c r="Y1381" s="271"/>
      <c r="Z1381" s="271"/>
      <c r="AB1381" s="273" t="str">
        <f>B1381&amp;C1381</f>
        <v/>
      </c>
    </row>
    <row r="1382" spans="1:28" ht="13.5" thickBot="1">
      <c r="A1382" s="292"/>
      <c r="B1382" s="274"/>
      <c r="C1382" s="274"/>
      <c r="D1382" s="275"/>
      <c r="E1382" s="275"/>
      <c r="F1382" s="275"/>
      <c r="G1382" s="275"/>
      <c r="H1382" s="275"/>
      <c r="I1382" s="275"/>
      <c r="J1382" s="275"/>
      <c r="K1382" s="275"/>
      <c r="L1382" s="275"/>
      <c r="M1382" s="275"/>
      <c r="N1382" s="275"/>
      <c r="O1382" s="275"/>
      <c r="P1382" s="275"/>
      <c r="Q1382" s="239"/>
      <c r="R1382" s="215"/>
      <c r="S1382" s="222" t="str">
        <f t="shared" ca="1" si="216"/>
        <v/>
      </c>
      <c r="T1382" s="222" t="str">
        <f ca="1">IF(B1382="","",IF(ISERROR(MATCH($J1382,SorP!$B$1:$B$6230,0)),"",INDIRECT("'SorP'!$A$"&amp;MATCH($J1382,SorP!$B$1:$B$6230,0))))</f>
        <v/>
      </c>
      <c r="AB1382" s="272" t="str">
        <f>B1382&amp;C1382</f>
        <v/>
      </c>
    </row>
    <row r="1383" spans="1:28" ht="13.5" thickTop="1">
      <c r="U1383" s="277"/>
      <c r="V1383" s="277"/>
      <c r="W1383" s="277"/>
      <c r="X1383" s="277"/>
      <c r="Y1383" s="277"/>
      <c r="Z1383" s="277"/>
    </row>
    <row r="1384" spans="1:28">
      <c r="U1384" s="277"/>
      <c r="V1384" s="277"/>
      <c r="W1384" s="277"/>
      <c r="X1384" s="277"/>
      <c r="Y1384" s="277"/>
      <c r="Z1384" s="277"/>
    </row>
    <row r="1385" spans="1:28" ht="13.5" thickBot="1">
      <c r="U1385" s="277"/>
      <c r="V1385" s="277"/>
      <c r="W1385" s="277"/>
      <c r="X1385" s="277"/>
      <c r="Y1385" s="277"/>
      <c r="Z1385" s="277"/>
    </row>
  </sheetData>
  <sheetProtection algorithmName="SHA-512" hashValue="+r1CTYSlHrA5vV0quPApz4siblL4kNjlw364k8UbDFFp4K6xZePIO7D6iuJQBgzB8Jj55JwZVlg9LWkJJgPK3Q==" saltValue="rEh3n15PjLJFbx5dprOteg==" spinCount="100000" sheet="1" formatRows="0" deleteRows="0" autoFilter="0"/>
  <autoFilter ref="A4:Q1382"/>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345:B1381 B334:B343">
    <cfRule type="expression" dxfId="66" priority="321" stopIfTrue="1">
      <formula>IF(B334="",TRUE)</formula>
    </cfRule>
    <cfRule type="expression" dxfId="65" priority="332" stopIfTrue="1">
      <formula>IF(AND(COUNTIF(MetalSmelter,B334&amp;C334)=0,LEN(C334)&gt;0),TRUE,FALSE)</formula>
    </cfRule>
  </conditionalFormatting>
  <conditionalFormatting sqref="D5:D332 D334:D1381">
    <cfRule type="expression" dxfId="64" priority="315" stopIfTrue="1">
      <formula>IF(AND(LEN($C5)&gt;0,($C5&lt;&gt;"Smelter Not Listed")),1,0)</formula>
    </cfRule>
    <cfRule type="expression" dxfId="63" priority="340" stopIfTrue="1">
      <formula>IF(AND(D5="",$C5=$X$4),TRUE)</formula>
    </cfRule>
    <cfRule type="expression" dxfId="62" priority="341" stopIfTrue="1">
      <formula>IF(FIND("!",D5),TRUE)</formula>
    </cfRule>
  </conditionalFormatting>
  <conditionalFormatting sqref="G345:G1381 G334:G343">
    <cfRule type="expression" dxfId="61" priority="342" stopIfTrue="1">
      <formula>IF(FIND("Enter smelter details",G334),TRUE)</formula>
    </cfRule>
  </conditionalFormatting>
  <conditionalFormatting sqref="E5:E332 R5:R1382 E334:E1381">
    <cfRule type="expression" dxfId="60" priority="328" stopIfTrue="1">
      <formula>IF(AND(E5="",$C5=$X$4),TRUE)</formula>
    </cfRule>
    <cfRule type="expression" dxfId="59" priority="329" stopIfTrue="1">
      <formula>IF(FIND("!",E5),TRUE)</formula>
    </cfRule>
  </conditionalFormatting>
  <conditionalFormatting sqref="F345:F1381 F334:F343">
    <cfRule type="expression" dxfId="58" priority="319" stopIfTrue="1">
      <formula>IF(AND(LEN($A334)&gt;0,$A334&lt;&gt;$F334),TRUE,FALSE)</formula>
    </cfRule>
  </conditionalFormatting>
  <conditionalFormatting sqref="C345:C1381 C334:C343">
    <cfRule type="expression" dxfId="57" priority="318" stopIfTrue="1">
      <formula>IF(AND(B334&lt;&gt;"",C334=""),TRUE)</formula>
    </cfRule>
  </conditionalFormatting>
  <conditionalFormatting sqref="B21:B332 B5:B19">
    <cfRule type="expression" dxfId="56" priority="257" stopIfTrue="1">
      <formula>IF(B5="",TRUE)</formula>
    </cfRule>
    <cfRule type="expression" dxfId="55" priority="260" stopIfTrue="1">
      <formula>IF(AND(COUNTIF(MetalSmelter,B5&amp;C5)=0,LEN(C5)&gt;0),TRUE,FALSE)</formula>
    </cfRule>
  </conditionalFormatting>
  <conditionalFormatting sqref="G5:G19 G21:G332">
    <cfRule type="expression" dxfId="54" priority="263" stopIfTrue="1">
      <formula>IF(FIND("Enter smelter details",G5),TRUE)</formula>
    </cfRule>
  </conditionalFormatting>
  <conditionalFormatting sqref="F5:F19 F21:F332">
    <cfRule type="expression" dxfId="53" priority="256" stopIfTrue="1">
      <formula>IF(AND(LEN($A5)&gt;0,$A5&lt;&gt;$F5),TRUE,FALSE)</formula>
    </cfRule>
  </conditionalFormatting>
  <conditionalFormatting sqref="C21:C332 C5:C19">
    <cfRule type="expression" dxfId="52" priority="255" stopIfTrue="1">
      <formula>IF(AND(B5&lt;&gt;"",C5=""),TRUE)</formula>
    </cfRule>
  </conditionalFormatting>
  <conditionalFormatting sqref="B20">
    <cfRule type="expression" dxfId="51" priority="247" stopIfTrue="1">
      <formula>IF(B20="",TRUE)</formula>
    </cfRule>
    <cfRule type="expression" dxfId="50" priority="250" stopIfTrue="1">
      <formula>IF(AND(COUNTIF(MetalSmelter,B20&amp;C20)=0,LEN(C20)&gt;0),TRUE,FALSE)</formula>
    </cfRule>
  </conditionalFormatting>
  <conditionalFormatting sqref="G20">
    <cfRule type="expression" dxfId="49" priority="253" stopIfTrue="1">
      <formula>IF(FIND("Enter smelter details",G20),TRUE)</formula>
    </cfRule>
  </conditionalFormatting>
  <conditionalFormatting sqref="F20">
    <cfRule type="expression" dxfId="48" priority="246" stopIfTrue="1">
      <formula>IF(AND(LEN($A20)&gt;0,$A20&lt;&gt;$F20),TRUE,FALSE)</formula>
    </cfRule>
  </conditionalFormatting>
  <conditionalFormatting sqref="C20">
    <cfRule type="expression" dxfId="47" priority="245" stopIfTrue="1">
      <formula>IF(AND(B20&lt;&gt;"",C20=""),TRUE)</formula>
    </cfRule>
  </conditionalFormatting>
  <conditionalFormatting sqref="D333">
    <cfRule type="expression" dxfId="46" priority="218" stopIfTrue="1">
      <formula>IF(AND(D333="",$C333=$X$4),TRUE)</formula>
    </cfRule>
  </conditionalFormatting>
  <conditionalFormatting sqref="G333">
    <cfRule type="expression" dxfId="45" priority="220" stopIfTrue="1">
      <formula>IF(FIND("Enter smelter details",G333),TRUE)</formula>
    </cfRule>
  </conditionalFormatting>
  <conditionalFormatting sqref="A333">
    <cfRule type="expression" dxfId="44" priority="214" stopIfTrue="1">
      <formula>IF(A333="",TRUE)</formula>
    </cfRule>
    <cfRule type="expression" dxfId="43" priority="215" stopIfTrue="1">
      <formula>IF(AND(COUNTIF(MetalSmelter,A333&amp;B333)=0,LEN(B333)&gt;0), TRUE, FALSE)</formula>
    </cfRule>
  </conditionalFormatting>
  <conditionalFormatting sqref="B333:C333">
    <cfRule type="expression" dxfId="42" priority="212" stopIfTrue="1">
      <formula>IF(B333="",TRUE)</formula>
    </cfRule>
    <cfRule type="expression" dxfId="41" priority="213" stopIfTrue="1">
      <formula>IF(AND(COUNTIF(MetalSmelter,B333&amp;C333)=0,LEN(C333)&gt;0), TRUE, FALSE)</formula>
    </cfRule>
  </conditionalFormatting>
  <conditionalFormatting sqref="E333">
    <cfRule type="expression" dxfId="40" priority="210" stopIfTrue="1">
      <formula>IF(E333="",TRUE)</formula>
    </cfRule>
    <cfRule type="expression" dxfId="39" priority="211" stopIfTrue="1">
      <formula>IF(AND(COUNTIF(MetalSmelter,E333&amp;#REF!)=0,LEN(#REF!)&gt;0), TRUE, FALSE)</formula>
    </cfRule>
  </conditionalFormatting>
  <conditionalFormatting sqref="F333">
    <cfRule type="expression" dxfId="38" priority="208" stopIfTrue="1">
      <formula>IF(F333="",TRUE)</formula>
    </cfRule>
    <cfRule type="expression" dxfId="37" priority="209" stopIfTrue="1">
      <formula>IF(AND(COUNTIF(MetalSmelter,F333&amp;G333)=0,LEN(G333)&gt;0), TRUE, FALSE)</formula>
    </cfRule>
  </conditionalFormatting>
  <conditionalFormatting sqref="I333:J333">
    <cfRule type="expression" dxfId="36" priority="206" stopIfTrue="1">
      <formula>IF(I333="",TRUE)</formula>
    </cfRule>
    <cfRule type="expression" dxfId="35" priority="207" stopIfTrue="1">
      <formula>IF(AND(COUNTIF(MetalSmelter,I333&amp;J333)=0,LEN(J333)&gt;0), TRUE, FALSE)</formula>
    </cfRule>
  </conditionalFormatting>
  <conditionalFormatting sqref="D333">
    <cfRule type="expression" dxfId="34" priority="203" stopIfTrue="1">
      <formula>IF(AND(LEN($C333)&gt;0,($C333&lt;&gt;"Smelter Not Listed")),1,0)</formula>
    </cfRule>
  </conditionalFormatting>
  <conditionalFormatting sqref="D333">
    <cfRule type="expression" dxfId="33" priority="205" stopIfTrue="1">
      <formula>IF(FIND("!",D333),TRUE)</formula>
    </cfRule>
  </conditionalFormatting>
  <conditionalFormatting sqref="B344">
    <cfRule type="expression" dxfId="32" priority="4" stopIfTrue="1">
      <formula>IF(B344="",TRUE)</formula>
    </cfRule>
    <cfRule type="expression" dxfId="31" priority="7" stopIfTrue="1">
      <formula>IF(AND(COUNTIF(MetalSmelter,B344&amp;C344)=0,LEN(C344)&gt;0),TRUE,FALSE)</formula>
    </cfRule>
  </conditionalFormatting>
  <conditionalFormatting sqref="G344">
    <cfRule type="expression" dxfId="30" priority="10" stopIfTrue="1">
      <formula>IF(FIND("Enter smelter details",G344),TRUE)</formula>
    </cfRule>
  </conditionalFormatting>
  <conditionalFormatting sqref="F344">
    <cfRule type="expression" dxfId="29" priority="3" stopIfTrue="1">
      <formula>IF(AND(LEN($A344)&gt;0,$A344&lt;&gt;$F344),TRUE,FALSE)</formula>
    </cfRule>
  </conditionalFormatting>
  <conditionalFormatting sqref="C344">
    <cfRule type="expression" dxfId="28" priority="2" stopIfTrue="1">
      <formula>IF(AND(B344&lt;&gt;"",C344=""),TRUE)</formula>
    </cfRule>
  </conditionalFormatting>
  <dataValidations count="5">
    <dataValidation type="list" allowBlank="1" showInputMessage="1" showErrorMessage="1" sqref="B5:B1381">
      <formula1>Metal</formula1>
    </dataValidation>
    <dataValidation allowBlank="1" showErrorMessage="1" sqref="F5:G1381"/>
    <dataValidation type="list" showInputMessage="1" showErrorMessage="1" sqref="C5:C1381">
      <formula1>SN</formula1>
    </dataValidation>
    <dataValidation type="list" allowBlank="1" showInputMessage="1" showErrorMessage="1" sqref="E5:E1381">
      <formula1>CL</formula1>
    </dataValidation>
    <dataValidation type="list" allowBlank="1" showInputMessage="1" showErrorMessage="1" sqref="P5:P1381">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63" t="str">
        <f ca="1">OFFSET(L!$C$1,MATCH("Checker"&amp;ADDRESS(ROW(),COLUMN(),4),L!$A:$A,0)-1,SL,,)</f>
        <v>To ensure all required fields have been populated before submitting to your customers review form for any line items highlighted in red</v>
      </c>
      <c r="B1" s="463"/>
      <c r="C1" s="463"/>
      <c r="D1" s="146" t="str">
        <f ca="1">OFFSET(L!$C$1,MATCH("Checker"&amp;ADDRESS(ROW(),COLUMN(),4),L!$A:$A,0)-1,SL,,)</f>
        <v>Required fields remaining to be completed</v>
      </c>
      <c r="E1" s="84" t="s">
        <v>806</v>
      </c>
    </row>
    <row r="2" spans="1:10" ht="15">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eMagin Corporation</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t="str">
        <f>Declaration!D10</f>
        <v>Manufacturer of microdisplays</v>
      </c>
      <c r="C6" s="102" t="str">
        <f ca="1">IF(H6=1,J6,I6)</f>
        <v>Complete</v>
      </c>
      <c r="D6" s="108" t="str">
        <f>IF(H6=1,"Click here to provide a Description of Scope","")</f>
        <v/>
      </c>
      <c r="E6" s="84" t="s">
        <v>1307</v>
      </c>
      <c r="F6" s="107">
        <f>IF(OR(B5=Declaration!P9,B5=Declaration!Q9,B5=0),0,1)</f>
        <v>0</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Deena Plank</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dplank@emagin.com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845-838-7989</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Joseph C. Saltarelli</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jsaltarelli@emagin.com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44652</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808</v>
      </c>
      <c r="F18" s="106"/>
      <c r="G18" s="24"/>
      <c r="H18" s="24"/>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Tantalum  (*)</v>
      </c>
      <c r="B24" s="102" t="str">
        <f>IF(AND($B$14="Yes",$B$19="Yes"),Declaration!D38,0)</f>
        <v>No</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No</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Tantalum  (*)</v>
      </c>
      <c r="B29" s="102" t="str">
        <f>IF(AND($B$14="Yes",$B$19="Yes"),Declaration!D44,0)</f>
        <v>No</v>
      </c>
      <c r="C29" s="102" t="str">
        <f ca="1">IF(H29=1,J29,I29)</f>
        <v>Complete</v>
      </c>
      <c r="D29" s="322"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No</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Tantalum  (*)</v>
      </c>
      <c r="B34" s="102" t="str">
        <f>IF(AND($B$14="Yes",$B$19="Yes"),Declaration!D50,0)</f>
        <v>No</v>
      </c>
      <c r="C34" s="102" t="str">
        <f ca="1">IF(H34=1,J34,I34)</f>
        <v>Complete</v>
      </c>
      <c r="D34" s="322"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2"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807</v>
      </c>
      <c r="F38" s="106"/>
      <c r="G38" s="24"/>
      <c r="H38" s="24"/>
    </row>
    <row r="39" spans="1:10" ht="26.25">
      <c r="A39" s="103" t="str">
        <f ca="1">Declaration!B56</f>
        <v>Tantalum  (*)</v>
      </c>
      <c r="B39" s="340" t="str">
        <f>IF(AND($B$14="Yes",$B$19="Yes"),Declaration!D56,0)</f>
        <v>Greater than 90%</v>
      </c>
      <c r="C39" s="102" t="str">
        <f ca="1">IF(H39=1,J39,I39)</f>
        <v>Complete</v>
      </c>
      <c r="D39" s="323"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340" t="str">
        <f>IF(AND($B$15="Yes",$B$20="Yes"),Declaration!D57,0)</f>
        <v>Greater than 90%</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340" t="str">
        <f>IF(AND($B$16="Yes",$B$21="Yes"),Declaration!D58,0)</f>
        <v>Greater than 90%</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340" t="str">
        <f>IF(AND($B$17="Yes",$B$22="Yes"),Declaration!D59,0)</f>
        <v>Greater than 90%</v>
      </c>
      <c r="C42" s="102" t="str">
        <f ca="1">IF(H42=1,J42,I42)</f>
        <v>Complete</v>
      </c>
      <c r="D42" s="323"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808</v>
      </c>
      <c r="F43" s="106"/>
      <c r="G43" s="24"/>
      <c r="H43" s="24"/>
    </row>
    <row r="44" spans="1:10" ht="51.75">
      <c r="A44" s="103" t="str">
        <f ca="1">Declaration!B62</f>
        <v>Tantalum  (*)</v>
      </c>
      <c r="B44" s="102" t="str">
        <f>IF(AND($B$14="Yes",$B$19="Yes"),Declaration!D62,0)</f>
        <v>No</v>
      </c>
      <c r="C44" s="102" t="str">
        <f ca="1">IF(H44=1,J44,I44)</f>
        <v>Complete</v>
      </c>
      <c r="D44" s="322"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No</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No</v>
      </c>
      <c r="C47" s="102" t="str">
        <f ca="1">IF(H47=1,J47,I47)</f>
        <v>Complete</v>
      </c>
      <c r="D47" s="322"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Tantalum  (*)</v>
      </c>
      <c r="B49" s="102" t="str">
        <f>IF(AND($B$14="Yes",$B$19="Yes"),Declaration!D68,0)</f>
        <v>Yes</v>
      </c>
      <c r="C49" s="102" t="str">
        <f ca="1">IF(H49=1,J49,I49)</f>
        <v>Complete</v>
      </c>
      <c r="D49" s="323"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3"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102" t="s">
        <v>5</v>
      </c>
      <c r="B56" s="102" t="str">
        <f>Declaration!G77</f>
        <v>https://www.emagin.com/images/pdf/CFSI_CMRT_eMagin.pdf</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IF(H65=0,"","Click here to provide smelter information")</f>
        <v/>
      </c>
      <c r="E65" s="84" t="s">
        <v>1307</v>
      </c>
      <c r="F65" s="107">
        <f>F24</f>
        <v>1</v>
      </c>
      <c r="G65" s="81">
        <f>IF(AND(COUNTIF(SmelterIdetifiedForMetal,"Tantalum")&gt;0,COUNTIF('Smelter List'!AB$5:AB$1381,"Tantalum?*")&gt;0),0,1)</f>
        <v>0</v>
      </c>
      <c r="H65" s="82">
        <f t="shared"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IF(H66=0,"","Click here to provide smelter information")</f>
        <v/>
      </c>
      <c r="E66" s="84" t="s">
        <v>807</v>
      </c>
      <c r="F66" s="107">
        <f>F25</f>
        <v>1</v>
      </c>
      <c r="G66" s="81">
        <f>IF(AND(COUNTIF(SmelterIdetifiedForMetal,"Tin")&gt;0,COUNTIF('Smelter List'!AB$5:AB$1381,"Tin?*")&gt;0),0,1)</f>
        <v>0</v>
      </c>
      <c r="H66" s="82">
        <f t="shared"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IF(H67=0,"","Click here to provide smelter information")</f>
        <v/>
      </c>
      <c r="E67" s="84" t="s">
        <v>807</v>
      </c>
      <c r="F67" s="107">
        <f>F26</f>
        <v>1</v>
      </c>
      <c r="G67" s="81">
        <f>IF(AND(COUNTIF(SmelterIdetifiedForMetal,"Gold")&gt;0,COUNTIF('Smelter List'!AB$5:AB$1381,"Gold?*")&gt;0),0,1)</f>
        <v>0</v>
      </c>
      <c r="H67" s="82">
        <f t="shared"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IF(H68=0,"","Click here to provide smelter information")</f>
        <v/>
      </c>
      <c r="E68" s="84" t="s">
        <v>807</v>
      </c>
      <c r="F68" s="107">
        <f>F27</f>
        <v>1</v>
      </c>
      <c r="G68" s="81">
        <f>IF(AND(COUNTIF(SmelterIdetifiedForMetal,"Tungsten")&gt;0,COUNTIF('Smelter List'!AB$5:AB$1381,"Tungsten?*")&gt;0),0,1)</f>
        <v>0</v>
      </c>
      <c r="H68" s="82">
        <f t="shared"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 ca="1">IF(F69=0,J69,IF(G69=0,I69,L69))</f>
        <v>Complete</v>
      </c>
      <c r="D69" s="108"/>
      <c r="E69" s="84"/>
      <c r="F69" s="107">
        <f>IF(COUNTIF('Smelter List'!C5:C1381,"Smelter not listed")=0,0,1)</f>
        <v>1</v>
      </c>
      <c r="G69" s="81">
        <f ca="1">IF(OR(SUMPRODUCT(('Smelter List'!C5:C1381="Smelter not listed")*('Smelter List'!D5:D1381=""))&gt;0,SUMPRODUCT(('Smelter List'!C5:C1381="Smelter not listed")*('Smelter List'!E5:E1381=""))&gt;0),1,0)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5"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65" t="str">
        <f ca="1">OFFSET(L!$C$1,MATCH("Product List"&amp;ADDRESS(ROW(),COLUMN(),4),L!$A:$A,0)-1,SL,,)</f>
        <v>Completion required only if reporting level "Product (or List of Products)" selected on the 'Declaration' worksheet.</v>
      </c>
      <c r="B1" s="466"/>
      <c r="C1" s="466"/>
      <c r="D1" s="466"/>
      <c r="E1" s="145"/>
    </row>
    <row r="2" spans="1:6">
      <c r="A2" s="29"/>
      <c r="B2" s="147"/>
      <c r="C2" s="147"/>
      <c r="D2"/>
      <c r="E2" s="30"/>
    </row>
    <row r="3" spans="1:6">
      <c r="A3" s="29"/>
      <c r="B3" s="147"/>
      <c r="C3" s="147"/>
      <c r="D3" s="147"/>
      <c r="E3" s="30"/>
    </row>
    <row r="4" spans="1:6" ht="15.75" customHeight="1">
      <c r="A4" s="29"/>
      <c r="B4" s="464" t="s">
        <v>898</v>
      </c>
      <c r="C4" s="464"/>
      <c r="D4" s="464"/>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67" t="str">
        <f ca="1">OFFSET(L!$C$1,MATCH("General"&amp;"Cpy",L!$A:$A,0)-1,SL,,)</f>
        <v>© 2021 Responsible Minerals Initiative. All rights reserved.</v>
      </c>
      <c r="C1001" s="467"/>
      <c r="D1001" s="467"/>
      <c r="E1001" s="31"/>
    </row>
    <row r="1002" spans="1:6" ht="13.5"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10"/>
  <sheetViews>
    <sheetView zoomScaleNormal="100" zoomScalePageLayoutView="85" workbookViewId="0">
      <pane ySplit="4" topLeftCell="A5" activePane="bottomLeft" state="frozen"/>
      <selection activeCell="A4" sqref="A4"/>
      <selection pane="bottomLeft" activeCell="B13" sqref="B13"/>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6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8"/>
      <c r="C1" s="468"/>
      <c r="D1" s="468"/>
      <c r="E1" s="468"/>
      <c r="F1" s="468"/>
      <c r="G1" s="468"/>
    </row>
    <row r="2" spans="1:16">
      <c r="A2" s="469"/>
      <c r="B2" s="469"/>
      <c r="C2" s="469"/>
      <c r="D2" s="469"/>
      <c r="E2" s="469"/>
      <c r="F2" s="469"/>
      <c r="G2" s="469"/>
      <c r="H2" s="469"/>
      <c r="I2" s="469"/>
    </row>
    <row r="3" spans="1:16">
      <c r="A3" s="469"/>
      <c r="B3" s="469"/>
      <c r="C3" s="469"/>
      <c r="D3" s="469"/>
      <c r="E3" s="469"/>
      <c r="F3" s="469"/>
      <c r="G3" s="469"/>
      <c r="H3" s="469"/>
      <c r="I3" s="469"/>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7" t="s">
        <v>14438</v>
      </c>
      <c r="G2" s="291" t="s">
        <v>15457</v>
      </c>
      <c r="H2" s="288" t="s">
        <v>14686</v>
      </c>
      <c r="I2" s="288" t="s">
        <v>14743</v>
      </c>
      <c r="J2" s="288" t="s">
        <v>13686</v>
      </c>
      <c r="K2" s="282" t="s">
        <v>13502</v>
      </c>
      <c r="L2" s="294" t="s">
        <v>14859</v>
      </c>
      <c r="M2" s="288" t="s">
        <v>14912</v>
      </c>
    </row>
    <row r="3" spans="1:13" ht="28.5">
      <c r="A3" s="288" t="str">
        <f t="shared" ref="A3" si="0">B3&amp;C3</f>
        <v>InstructionsA2</v>
      </c>
      <c r="B3" s="288" t="s">
        <v>532</v>
      </c>
      <c r="C3" s="288" t="s">
        <v>632</v>
      </c>
      <c r="D3" s="288" t="s">
        <v>854</v>
      </c>
      <c r="E3" s="254" t="s">
        <v>13515</v>
      </c>
      <c r="F3" s="337"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7"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7"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7"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7"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7"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8" t="s">
        <v>14444</v>
      </c>
      <c r="G9" s="341"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7"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7"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7" t="s">
        <v>14447</v>
      </c>
      <c r="G12" s="291" t="s">
        <v>352</v>
      </c>
      <c r="H12" s="288" t="s">
        <v>426</v>
      </c>
      <c r="I12" s="288" t="s">
        <v>285</v>
      </c>
      <c r="J12" s="288" t="s">
        <v>1332</v>
      </c>
      <c r="K12" s="249" t="s">
        <v>123</v>
      </c>
      <c r="L12" s="294" t="s">
        <v>7</v>
      </c>
      <c r="M12" s="288" t="s">
        <v>14921</v>
      </c>
    </row>
    <row r="13" spans="1:13" ht="57">
      <c r="A13" s="288" t="str">
        <f t="shared" si="1"/>
        <v>InstructionsA13</v>
      </c>
      <c r="B13" s="288" t="s">
        <v>532</v>
      </c>
      <c r="C13" s="288" t="s">
        <v>1181</v>
      </c>
      <c r="D13" s="288" t="s">
        <v>411</v>
      </c>
      <c r="E13" s="254" t="s">
        <v>13520</v>
      </c>
      <c r="F13" s="337"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7" t="s">
        <v>14449</v>
      </c>
      <c r="G14" s="291" t="s">
        <v>354</v>
      </c>
      <c r="H14" s="288" t="s">
        <v>428</v>
      </c>
      <c r="I14" s="288" t="s">
        <v>287</v>
      </c>
      <c r="J14" s="288" t="s">
        <v>1362</v>
      </c>
      <c r="K14" s="249" t="s">
        <v>121</v>
      </c>
      <c r="L14" s="294" t="s">
        <v>9</v>
      </c>
      <c r="M14" s="288" t="s">
        <v>14923</v>
      </c>
    </row>
    <row r="15" spans="1:13" ht="42.75">
      <c r="A15" s="288" t="str">
        <f t="shared" si="1"/>
        <v>InstructionsA15</v>
      </c>
      <c r="B15" s="288" t="s">
        <v>532</v>
      </c>
      <c r="C15" s="288" t="s">
        <v>414</v>
      </c>
      <c r="D15" s="288" t="s">
        <v>413</v>
      </c>
      <c r="E15" s="254" t="s">
        <v>13522</v>
      </c>
      <c r="F15" s="337"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7" t="s">
        <v>14451</v>
      </c>
      <c r="G16" s="291" t="s">
        <v>15460</v>
      </c>
      <c r="H16" s="288" t="s">
        <v>430</v>
      </c>
      <c r="I16" s="288" t="s">
        <v>289</v>
      </c>
      <c r="J16" s="288" t="s">
        <v>1335</v>
      </c>
      <c r="K16" s="282" t="s">
        <v>402</v>
      </c>
      <c r="L16" s="294" t="s">
        <v>11</v>
      </c>
      <c r="M16" s="288" t="s">
        <v>14925</v>
      </c>
    </row>
    <row r="17" spans="1:13" ht="42.75">
      <c r="A17" s="288" t="str">
        <f t="shared" si="1"/>
        <v>InstructionsA17</v>
      </c>
      <c r="B17" s="288" t="s">
        <v>532</v>
      </c>
      <c r="C17" s="288" t="s">
        <v>1184</v>
      </c>
      <c r="D17" s="288" t="s">
        <v>415</v>
      </c>
      <c r="E17" s="254" t="s">
        <v>13523</v>
      </c>
      <c r="F17" s="337"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7"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7"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7"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7"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7"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8" t="s">
        <v>14457</v>
      </c>
      <c r="G23" s="341"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8" t="s">
        <v>15286</v>
      </c>
      <c r="G24" s="341"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1" t="s">
        <v>15547</v>
      </c>
      <c r="G25" s="342" t="s">
        <v>14637</v>
      </c>
      <c r="H25" s="296" t="s">
        <v>14693</v>
      </c>
      <c r="I25" s="296" t="s">
        <v>14750</v>
      </c>
      <c r="J25" s="335" t="s">
        <v>15450</v>
      </c>
      <c r="K25" s="297" t="s">
        <v>14808</v>
      </c>
      <c r="L25" s="298" t="s">
        <v>15451</v>
      </c>
      <c r="M25" s="285" t="s">
        <v>14934</v>
      </c>
    </row>
    <row r="26" spans="1:13" ht="57">
      <c r="A26" s="288" t="str">
        <f t="shared" si="1"/>
        <v>InstructionsA27</v>
      </c>
      <c r="B26" s="288" t="s">
        <v>532</v>
      </c>
      <c r="C26" s="288" t="s">
        <v>416</v>
      </c>
      <c r="D26" s="288" t="s">
        <v>417</v>
      </c>
      <c r="E26" s="320" t="s">
        <v>13527</v>
      </c>
      <c r="F26" s="337"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2" t="s">
        <v>14459</v>
      </c>
      <c r="G27" s="343"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8" t="s">
        <v>14460</v>
      </c>
      <c r="G28" s="341"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8" t="s">
        <v>14461</v>
      </c>
      <c r="G29" s="341" t="s">
        <v>15464</v>
      </c>
      <c r="H29" s="290" t="s">
        <v>14696</v>
      </c>
      <c r="I29" s="290" t="s">
        <v>15245</v>
      </c>
      <c r="J29" s="290" t="s">
        <v>15551</v>
      </c>
      <c r="K29" s="290" t="s">
        <v>14811</v>
      </c>
      <c r="L29" s="290" t="s">
        <v>14870</v>
      </c>
      <c r="M29" s="290" t="s">
        <v>14938</v>
      </c>
    </row>
    <row r="30" spans="1:13" ht="229.5">
      <c r="A30" s="288" t="str">
        <f t="shared" si="3"/>
        <v>InstructionsA31</v>
      </c>
      <c r="B30" s="288" t="s">
        <v>532</v>
      </c>
      <c r="C30" s="288" t="s">
        <v>1195</v>
      </c>
      <c r="D30" s="290" t="s">
        <v>14225</v>
      </c>
      <c r="E30" s="319" t="s">
        <v>14354</v>
      </c>
      <c r="F30" s="338" t="s">
        <v>14462</v>
      </c>
      <c r="G30" s="341"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6" t="s">
        <v>14463</v>
      </c>
      <c r="G31" s="344"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6" t="s">
        <v>14464</v>
      </c>
      <c r="G32" s="344"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6" t="s">
        <v>14465</v>
      </c>
      <c r="G33" s="344"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7"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6" t="s">
        <v>14467</v>
      </c>
      <c r="G35" s="345"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7"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7"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7"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2" t="s">
        <v>14470</v>
      </c>
      <c r="G39" s="342"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7"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2" t="s">
        <v>14471</v>
      </c>
      <c r="G41" s="342"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2" t="s">
        <v>14472</v>
      </c>
      <c r="G42" s="342" t="s">
        <v>14641</v>
      </c>
      <c r="H42" s="296" t="s">
        <v>14704</v>
      </c>
      <c r="I42" s="285" t="s">
        <v>14758</v>
      </c>
      <c r="J42" s="285" t="s">
        <v>14255</v>
      </c>
      <c r="K42" s="297" t="s">
        <v>14819</v>
      </c>
      <c r="L42" s="298" t="s">
        <v>14880</v>
      </c>
      <c r="M42" s="285" t="s">
        <v>14946</v>
      </c>
    </row>
    <row r="43" spans="1:13" ht="120">
      <c r="A43" s="288" t="str">
        <f t="shared" si="3"/>
        <v>InstructionsA45</v>
      </c>
      <c r="B43" s="288" t="s">
        <v>532</v>
      </c>
      <c r="C43" s="288" t="s">
        <v>1205</v>
      </c>
      <c r="D43" s="288" t="s">
        <v>14256</v>
      </c>
      <c r="E43" s="321" t="s">
        <v>14257</v>
      </c>
      <c r="F43" s="332" t="s">
        <v>14473</v>
      </c>
      <c r="G43" s="342"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7"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7"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7"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2" t="s">
        <v>14477</v>
      </c>
      <c r="G47" s="342" t="s">
        <v>14645</v>
      </c>
      <c r="H47" s="296" t="s">
        <v>14708</v>
      </c>
      <c r="I47" s="296" t="s">
        <v>14762</v>
      </c>
      <c r="J47" s="335" t="s">
        <v>15555</v>
      </c>
      <c r="K47" s="297" t="s">
        <v>14823</v>
      </c>
      <c r="L47" s="298" t="s">
        <v>14884</v>
      </c>
      <c r="M47" s="296" t="s">
        <v>14951</v>
      </c>
    </row>
    <row r="48" spans="1:13" ht="85.5">
      <c r="A48" s="241" t="s">
        <v>14250</v>
      </c>
      <c r="B48" s="241" t="s">
        <v>532</v>
      </c>
      <c r="C48" s="288" t="s">
        <v>1209</v>
      </c>
      <c r="D48" s="241" t="s">
        <v>12933</v>
      </c>
      <c r="E48" s="320" t="s">
        <v>13531</v>
      </c>
      <c r="F48" s="337" t="s">
        <v>14478</v>
      </c>
      <c r="G48" s="346"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7"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2" t="s">
        <v>14480</v>
      </c>
      <c r="G50" s="343" t="s">
        <v>14647</v>
      </c>
      <c r="H50" s="296" t="s">
        <v>12648</v>
      </c>
      <c r="I50" s="296" t="s">
        <v>14764</v>
      </c>
      <c r="J50" s="335" t="s">
        <v>15558</v>
      </c>
      <c r="K50" s="297" t="s">
        <v>14825</v>
      </c>
      <c r="L50" s="298" t="s">
        <v>13666</v>
      </c>
      <c r="M50" s="296" t="s">
        <v>14952</v>
      </c>
    </row>
    <row r="51" spans="1:13" ht="85.5">
      <c r="A51" s="288" t="str">
        <f t="shared" si="4"/>
        <v>InstructionsA54</v>
      </c>
      <c r="B51" s="288" t="s">
        <v>532</v>
      </c>
      <c r="C51" s="288" t="s">
        <v>1212</v>
      </c>
      <c r="D51" s="288" t="s">
        <v>13122</v>
      </c>
      <c r="E51" s="320" t="s">
        <v>13533</v>
      </c>
      <c r="F51" s="337"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7"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7"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7"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8" t="s">
        <v>14485</v>
      </c>
      <c r="G55" s="341"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8" t="s">
        <v>14486</v>
      </c>
      <c r="G56" s="341"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8" t="s">
        <v>14487</v>
      </c>
      <c r="G57" s="341"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7" t="s">
        <v>15288</v>
      </c>
      <c r="G58" s="347"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7"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7" t="s">
        <v>14489</v>
      </c>
      <c r="G60" s="291" t="s">
        <v>14648</v>
      </c>
      <c r="H60" s="288" t="s">
        <v>14710</v>
      </c>
      <c r="I60" s="288" t="s">
        <v>15246</v>
      </c>
      <c r="J60" s="288" t="s">
        <v>15568</v>
      </c>
      <c r="K60" s="282" t="s">
        <v>14827</v>
      </c>
      <c r="L60" s="294" t="s">
        <v>14887</v>
      </c>
      <c r="M60" s="288" t="s">
        <v>14954</v>
      </c>
    </row>
    <row r="61" spans="1:13" ht="213.75">
      <c r="A61" s="288" t="str">
        <f t="shared" si="4"/>
        <v>InstructionsA64</v>
      </c>
      <c r="B61" s="288" t="s">
        <v>532</v>
      </c>
      <c r="C61" s="288" t="s">
        <v>1221</v>
      </c>
      <c r="D61" s="288" t="s">
        <v>13374</v>
      </c>
      <c r="E61" s="288" t="s">
        <v>14375</v>
      </c>
      <c r="F61" s="337"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2" t="s">
        <v>14491</v>
      </c>
      <c r="G62" s="343" t="s">
        <v>14650</v>
      </c>
      <c r="H62" s="296" t="s">
        <v>14712</v>
      </c>
      <c r="I62" s="296" t="s">
        <v>14766</v>
      </c>
      <c r="J62" s="335" t="s">
        <v>15570</v>
      </c>
      <c r="K62" s="297" t="s">
        <v>14829</v>
      </c>
      <c r="L62" s="298" t="s">
        <v>14889</v>
      </c>
      <c r="M62" s="296" t="s">
        <v>14956</v>
      </c>
    </row>
    <row r="63" spans="1:13" ht="57">
      <c r="A63" s="288" t="str">
        <f t="shared" si="4"/>
        <v>InstructionsA66</v>
      </c>
      <c r="B63" s="288" t="s">
        <v>532</v>
      </c>
      <c r="C63" s="288" t="s">
        <v>639</v>
      </c>
      <c r="D63" s="288" t="s">
        <v>640</v>
      </c>
      <c r="E63" s="288" t="s">
        <v>15198</v>
      </c>
      <c r="F63" s="337"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7"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7"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7" t="s">
        <v>14495</v>
      </c>
      <c r="G66" s="348"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7" t="s">
        <v>14496</v>
      </c>
      <c r="G67" s="291" t="s">
        <v>14652</v>
      </c>
      <c r="H67" s="172" t="s">
        <v>13660</v>
      </c>
      <c r="I67" s="288" t="s">
        <v>13701</v>
      </c>
      <c r="J67" s="288" t="s">
        <v>13688</v>
      </c>
      <c r="K67" s="282" t="s">
        <v>13505</v>
      </c>
      <c r="L67" s="294" t="s">
        <v>13668</v>
      </c>
      <c r="M67" s="288" t="s">
        <v>13652</v>
      </c>
    </row>
    <row r="68" spans="1:15" ht="171">
      <c r="A68" s="288" t="str">
        <f t="shared" si="4"/>
        <v>InstructionsA71</v>
      </c>
      <c r="B68" s="288" t="s">
        <v>532</v>
      </c>
      <c r="C68" s="288" t="s">
        <v>646</v>
      </c>
      <c r="D68" s="288" t="s">
        <v>13376</v>
      </c>
      <c r="E68" s="320" t="s">
        <v>14379</v>
      </c>
      <c r="F68" s="337" t="s">
        <v>14497</v>
      </c>
      <c r="G68" s="348"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7"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7"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7"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7"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7"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7"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7"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7"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7"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7"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7"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7"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7"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7"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7"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7"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7"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7"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7"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7"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7"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7"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7"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7"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7"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7" t="s">
        <v>14518</v>
      </c>
      <c r="G94" s="291" t="s">
        <v>14655</v>
      </c>
      <c r="H94" s="288" t="s">
        <v>341</v>
      </c>
      <c r="I94" s="288" t="s">
        <v>13381</v>
      </c>
      <c r="J94" s="288" t="s">
        <v>13381</v>
      </c>
      <c r="K94" s="282" t="s">
        <v>13509</v>
      </c>
      <c r="L94" s="294" t="s">
        <v>13671</v>
      </c>
      <c r="M94" s="288" t="s">
        <v>13656</v>
      </c>
      <c r="N94" s="185" t="s">
        <v>13478</v>
      </c>
    </row>
    <row r="95" spans="1:14" ht="101.65" customHeight="1">
      <c r="A95" s="288" t="str">
        <f t="shared" si="7"/>
        <v>DefinitionsB25</v>
      </c>
      <c r="B95" s="288" t="s">
        <v>948</v>
      </c>
      <c r="C95" s="288" t="s">
        <v>476</v>
      </c>
      <c r="D95" s="288" t="s">
        <v>13379</v>
      </c>
      <c r="E95" s="254" t="s">
        <v>13547</v>
      </c>
      <c r="F95" s="337"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7"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7"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7"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7"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7"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7"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7"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7"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7"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7" t="s">
        <v>15289</v>
      </c>
      <c r="G105" s="291" t="s">
        <v>15139</v>
      </c>
      <c r="H105" s="288" t="s">
        <v>15141</v>
      </c>
      <c r="I105" s="288" t="s">
        <v>15143</v>
      </c>
      <c r="J105" s="288" t="s">
        <v>15140</v>
      </c>
      <c r="K105" s="282" t="s">
        <v>15142</v>
      </c>
      <c r="L105" s="294" t="s">
        <v>15144</v>
      </c>
      <c r="M105" s="288" t="s">
        <v>15145</v>
      </c>
    </row>
    <row r="106" spans="1:14" ht="191.25">
      <c r="A106" s="288" t="str">
        <f t="shared" ref="A106:A137" si="9">B106&amp;C106</f>
        <v>DefinitionsC6</v>
      </c>
      <c r="B106" s="288" t="s">
        <v>948</v>
      </c>
      <c r="C106" s="288" t="s">
        <v>973</v>
      </c>
      <c r="D106" s="290" t="s">
        <v>1122</v>
      </c>
      <c r="E106" s="319" t="s">
        <v>13553</v>
      </c>
      <c r="F106" s="338" t="s">
        <v>14529</v>
      </c>
      <c r="G106" s="341"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7"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7"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7"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7"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7"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7"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7"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7"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7" t="s">
        <v>14536</v>
      </c>
      <c r="G115" s="291" t="s">
        <v>541</v>
      </c>
      <c r="H115" s="288" t="s">
        <v>278</v>
      </c>
      <c r="I115" s="288" t="s">
        <v>209</v>
      </c>
      <c r="J115" s="288" t="s">
        <v>13693</v>
      </c>
      <c r="K115" s="282" t="s">
        <v>324</v>
      </c>
      <c r="L115" s="294" t="s">
        <v>168</v>
      </c>
      <c r="M115" s="288" t="s">
        <v>13413</v>
      </c>
    </row>
    <row r="116" spans="1:13" ht="142.5">
      <c r="A116" s="288" t="str">
        <f t="shared" si="9"/>
        <v>DefinitionsC16</v>
      </c>
      <c r="B116" s="288" t="s">
        <v>948</v>
      </c>
      <c r="C116" s="288" t="s">
        <v>983</v>
      </c>
      <c r="D116" s="288" t="s">
        <v>1015</v>
      </c>
      <c r="E116" s="254" t="s">
        <v>13561</v>
      </c>
      <c r="F116" s="337" t="s">
        <v>14537</v>
      </c>
      <c r="G116" s="291" t="s">
        <v>15480</v>
      </c>
      <c r="H116" s="288" t="s">
        <v>279</v>
      </c>
      <c r="I116" s="288" t="s">
        <v>210</v>
      </c>
      <c r="J116" s="288" t="s">
        <v>1348</v>
      </c>
      <c r="K116" s="282" t="s">
        <v>325</v>
      </c>
      <c r="L116" s="294" t="s">
        <v>169</v>
      </c>
      <c r="M116" s="288" t="s">
        <v>13414</v>
      </c>
    </row>
    <row r="117" spans="1:13" ht="370.5">
      <c r="A117" s="288" t="str">
        <f t="shared" si="9"/>
        <v>DefinitionsC17</v>
      </c>
      <c r="B117" s="288" t="s">
        <v>948</v>
      </c>
      <c r="C117" s="288" t="s">
        <v>984</v>
      </c>
      <c r="D117" s="288" t="s">
        <v>1017</v>
      </c>
      <c r="E117" s="320" t="s">
        <v>14383</v>
      </c>
      <c r="F117" s="337"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7"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0"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0"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0"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0"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7"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7" t="s">
        <v>15269</v>
      </c>
      <c r="G124" s="291" t="s">
        <v>14665</v>
      </c>
      <c r="H124" s="288" t="s">
        <v>15270</v>
      </c>
      <c r="I124" s="288" t="s">
        <v>13705</v>
      </c>
      <c r="J124" s="288" t="s">
        <v>15271</v>
      </c>
      <c r="K124" s="282" t="s">
        <v>15272</v>
      </c>
      <c r="L124" s="294" t="s">
        <v>15273</v>
      </c>
      <c r="M124" s="288" t="s">
        <v>15274</v>
      </c>
    </row>
    <row r="125" spans="1:13" ht="285">
      <c r="A125" s="288" t="str">
        <f t="shared" si="9"/>
        <v>DefinitionsC25</v>
      </c>
      <c r="B125" s="288" t="s">
        <v>948</v>
      </c>
      <c r="C125" s="288" t="s">
        <v>570</v>
      </c>
      <c r="D125" s="288" t="s">
        <v>13382</v>
      </c>
      <c r="E125" s="320" t="s">
        <v>14385</v>
      </c>
      <c r="F125" s="337"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7"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7"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7"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7"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7"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7"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7"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7"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7"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7"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7"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2" t="s">
        <v>14553</v>
      </c>
      <c r="G137" s="343"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7"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7"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7"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7"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7"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7"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7"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7"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7"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7"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7"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7"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7"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7"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7"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7"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7"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6"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7"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7"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2" t="s">
        <v>14571</v>
      </c>
      <c r="G158" s="343"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2" t="s">
        <v>14572</v>
      </c>
      <c r="G159" s="342"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8" t="s">
        <v>14573</v>
      </c>
      <c r="G160" s="341"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8" t="s">
        <v>15292</v>
      </c>
      <c r="G161" s="341"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8" t="s">
        <v>14574</v>
      </c>
      <c r="G162" s="341" t="s">
        <v>14139</v>
      </c>
      <c r="H162" s="290" t="s">
        <v>14140</v>
      </c>
      <c r="I162" s="290" t="s">
        <v>14141</v>
      </c>
      <c r="J162" s="290" t="s">
        <v>14142</v>
      </c>
      <c r="K162" s="284" t="s">
        <v>14143</v>
      </c>
      <c r="L162" s="295" t="s">
        <v>14144</v>
      </c>
      <c r="M162" s="290" t="s">
        <v>14145</v>
      </c>
    </row>
    <row r="163" spans="1:13" ht="30">
      <c r="A163" s="288" t="str">
        <f t="shared" si="10"/>
        <v>DeclarationB55</v>
      </c>
      <c r="B163" s="288" t="s">
        <v>991</v>
      </c>
      <c r="C163" s="288" t="s">
        <v>481</v>
      </c>
      <c r="D163" s="290" t="s">
        <v>14147</v>
      </c>
      <c r="E163" s="321" t="s">
        <v>14389</v>
      </c>
      <c r="F163" s="335" t="s">
        <v>14148</v>
      </c>
      <c r="G163" s="342" t="s">
        <v>14149</v>
      </c>
      <c r="H163" s="285" t="s">
        <v>14150</v>
      </c>
      <c r="I163" s="285" t="s">
        <v>14151</v>
      </c>
      <c r="J163" s="285" t="s">
        <v>14152</v>
      </c>
      <c r="K163" s="297" t="s">
        <v>14153</v>
      </c>
      <c r="L163" s="298" t="s">
        <v>14154</v>
      </c>
      <c r="M163" s="285" t="s">
        <v>14155</v>
      </c>
    </row>
    <row r="164" spans="1:13" ht="38.25">
      <c r="A164" s="288" t="str">
        <f t="shared" si="10"/>
        <v>DeclarationB61</v>
      </c>
      <c r="B164" s="288" t="s">
        <v>991</v>
      </c>
      <c r="C164" s="288" t="s">
        <v>999</v>
      </c>
      <c r="D164" s="290" t="s">
        <v>14156</v>
      </c>
      <c r="E164" s="319" t="s">
        <v>14157</v>
      </c>
      <c r="F164" s="338" t="s">
        <v>14575</v>
      </c>
      <c r="G164" s="341"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8" t="s">
        <v>14576</v>
      </c>
      <c r="G165" s="341"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7"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7"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7"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8" t="s">
        <v>15293</v>
      </c>
      <c r="G169" s="341"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8" t="s">
        <v>15294</v>
      </c>
      <c r="G170" s="341"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2" t="s">
        <v>14580</v>
      </c>
      <c r="G171" s="342"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7" t="s">
        <v>15295</v>
      </c>
      <c r="G172" s="291" t="s">
        <v>14193</v>
      </c>
      <c r="H172" s="288" t="s">
        <v>14194</v>
      </c>
      <c r="I172" s="288" t="s">
        <v>14195</v>
      </c>
      <c r="J172" s="288" t="s">
        <v>15580</v>
      </c>
      <c r="K172" s="282" t="s">
        <v>14196</v>
      </c>
      <c r="L172" s="294" t="s">
        <v>14197</v>
      </c>
      <c r="M172" s="288" t="s">
        <v>14198</v>
      </c>
    </row>
    <row r="173" spans="1:13" ht="42.75">
      <c r="A173" s="288" t="str">
        <f t="shared" si="12"/>
        <v>DeclarationB87</v>
      </c>
      <c r="B173" s="288" t="s">
        <v>991</v>
      </c>
      <c r="C173" s="288" t="s">
        <v>14135</v>
      </c>
      <c r="D173" s="288" t="s">
        <v>14199</v>
      </c>
      <c r="E173" s="320" t="s">
        <v>14200</v>
      </c>
      <c r="F173" s="337"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4" t="s">
        <v>15251</v>
      </c>
      <c r="F174" s="332" t="s">
        <v>15296</v>
      </c>
      <c r="G174" s="324" t="s">
        <v>15252</v>
      </c>
      <c r="H174" s="324" t="s">
        <v>15253</v>
      </c>
      <c r="I174" s="324" t="s">
        <v>15254</v>
      </c>
      <c r="J174" s="324" t="s">
        <v>15255</v>
      </c>
      <c r="K174" s="324" t="s">
        <v>15256</v>
      </c>
      <c r="L174" s="324" t="s">
        <v>15257</v>
      </c>
      <c r="M174" s="324" t="s">
        <v>15258</v>
      </c>
    </row>
    <row r="175" spans="1:13" ht="28.5">
      <c r="A175" s="288" t="str">
        <f t="shared" si="12"/>
        <v>DeclarationD25</v>
      </c>
      <c r="B175" s="288" t="s">
        <v>991</v>
      </c>
      <c r="C175" s="288" t="s">
        <v>523</v>
      </c>
      <c r="D175" s="288" t="s">
        <v>836</v>
      </c>
      <c r="E175" s="254" t="s">
        <v>862</v>
      </c>
      <c r="F175" s="337"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7"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7"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7"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7"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7"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7"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7"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7"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7"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7"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7"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7"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7"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7" t="s">
        <v>14586</v>
      </c>
      <c r="G189" s="291" t="s">
        <v>1279</v>
      </c>
      <c r="H189" s="288" t="s">
        <v>1280</v>
      </c>
      <c r="I189" s="288" t="s">
        <v>236</v>
      </c>
      <c r="J189" s="288" t="s">
        <v>1281</v>
      </c>
      <c r="K189" s="282" t="s">
        <v>1282</v>
      </c>
      <c r="L189" s="294" t="s">
        <v>1282</v>
      </c>
      <c r="M189" s="288" t="s">
        <v>15007</v>
      </c>
    </row>
    <row r="190" spans="1:13" ht="28.5">
      <c r="A190" s="288" t="str">
        <f t="shared" si="12"/>
        <v>DeclarationAth</v>
      </c>
      <c r="B190" s="288" t="s">
        <v>991</v>
      </c>
      <c r="C190" s="288" t="s">
        <v>1283</v>
      </c>
      <c r="D190" s="288" t="s">
        <v>833</v>
      </c>
      <c r="E190" s="254" t="s">
        <v>13595</v>
      </c>
      <c r="F190" s="337"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7"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7"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7"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1">
        <v>1</v>
      </c>
      <c r="G194" s="349">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3" t="s">
        <v>14591</v>
      </c>
      <c r="G195" s="350"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3" t="s">
        <v>14592</v>
      </c>
      <c r="G196" s="350"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3" t="s">
        <v>14593</v>
      </c>
      <c r="G197" s="350"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3" t="s">
        <v>14594</v>
      </c>
      <c r="G198" s="350"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7"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4" t="s">
        <v>14596</v>
      </c>
      <c r="G200" s="343"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4" t="s">
        <v>14597</v>
      </c>
      <c r="G201" s="343"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4" t="s">
        <v>14598</v>
      </c>
      <c r="G202" s="343"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29" t="s">
        <v>14599</v>
      </c>
      <c r="G203" s="351"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29" t="s">
        <v>14600</v>
      </c>
      <c r="G204" s="351"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29" t="s">
        <v>14601</v>
      </c>
      <c r="G205" s="351"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4" t="s">
        <v>14598</v>
      </c>
      <c r="G206" s="343"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2" t="s">
        <v>15275</v>
      </c>
      <c r="G207" s="343"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7"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2" t="s">
        <v>14602</v>
      </c>
      <c r="G209" s="343" t="s">
        <v>14682</v>
      </c>
      <c r="H209" s="296" t="s">
        <v>14737</v>
      </c>
      <c r="I209" s="296" t="s">
        <v>14794</v>
      </c>
      <c r="J209" s="335" t="s">
        <v>15581</v>
      </c>
      <c r="K209" s="297" t="s">
        <v>14852</v>
      </c>
      <c r="L209" s="298" t="s">
        <v>13683</v>
      </c>
      <c r="M209" s="296" t="s">
        <v>15023</v>
      </c>
    </row>
    <row r="210" spans="1:13" ht="28.5">
      <c r="A210" s="288" t="str">
        <f t="shared" si="15"/>
        <v>Smelter Look-up</v>
      </c>
      <c r="B210" s="288" t="s">
        <v>12635</v>
      </c>
      <c r="D210" s="288" t="s">
        <v>13368</v>
      </c>
      <c r="E210" s="255" t="s">
        <v>13604</v>
      </c>
      <c r="F210" s="337"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7"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7"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2" t="s">
        <v>14606</v>
      </c>
      <c r="G213" s="343" t="s">
        <v>589</v>
      </c>
      <c r="H213" s="296" t="s">
        <v>14738</v>
      </c>
      <c r="I213" s="296" t="s">
        <v>14795</v>
      </c>
      <c r="J213" s="335"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7"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7"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7"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7"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7"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7"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2" t="s">
        <v>14602</v>
      </c>
      <c r="G220" s="343" t="s">
        <v>14682</v>
      </c>
      <c r="H220" s="296" t="s">
        <v>14737</v>
      </c>
      <c r="I220" s="296" t="s">
        <v>14794</v>
      </c>
      <c r="J220" s="335"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2" t="s">
        <v>14612</v>
      </c>
      <c r="G221" s="342"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7"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7"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7"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7" t="s">
        <v>14610</v>
      </c>
      <c r="G225" s="291" t="s">
        <v>1137</v>
      </c>
      <c r="H225" s="288" t="s">
        <v>1138</v>
      </c>
      <c r="I225" s="288" t="s">
        <v>247</v>
      </c>
      <c r="J225" s="204" t="s">
        <v>12930</v>
      </c>
      <c r="K225" s="282" t="s">
        <v>110</v>
      </c>
      <c r="L225" s="311" t="s">
        <v>621</v>
      </c>
      <c r="M225" s="288" t="s">
        <v>15031</v>
      </c>
    </row>
    <row r="226" spans="1:13" ht="28.5">
      <c r="A226" s="288" t="str">
        <f t="shared" si="16"/>
        <v>Smelter ListK4</v>
      </c>
      <c r="B226" s="288" t="s">
        <v>1239</v>
      </c>
      <c r="C226" s="288" t="s">
        <v>1292</v>
      </c>
      <c r="D226" s="288" t="s">
        <v>473</v>
      </c>
      <c r="E226" s="254" t="s">
        <v>13612</v>
      </c>
      <c r="F226" s="337"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7"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7"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7"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7"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7"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7"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7"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7"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2" t="s">
        <v>15236</v>
      </c>
      <c r="G235" s="342"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7"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7"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7"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7"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7"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7"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7"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7"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7"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7"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7"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7"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7"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7"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7"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7"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7"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7"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7"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7" t="s">
        <v>1924</v>
      </c>
      <c r="G255" s="291" t="s">
        <v>15496</v>
      </c>
      <c r="H255" s="288" t="s">
        <v>1925</v>
      </c>
      <c r="I255" s="288" t="s">
        <v>1926</v>
      </c>
      <c r="J255" s="288" t="s">
        <v>1927</v>
      </c>
      <c r="K255" s="291" t="s">
        <v>1928</v>
      </c>
      <c r="L255" s="300" t="s">
        <v>1929</v>
      </c>
      <c r="M255" s="288" t="s">
        <v>15053</v>
      </c>
    </row>
    <row r="256" spans="1:13" ht="42.75">
      <c r="A256" s="288" t="s">
        <v>1517</v>
      </c>
      <c r="B256" s="288" t="s">
        <v>1240</v>
      </c>
      <c r="C256" s="288" t="s">
        <v>1448</v>
      </c>
      <c r="D256" s="288" t="s">
        <v>2480</v>
      </c>
      <c r="E256" s="288" t="s">
        <v>14416</v>
      </c>
      <c r="F256" s="337"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7"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7"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7"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7"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7"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7"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7"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7"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7"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7"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7"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7"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7"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7"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7"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7"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7"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7"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7"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7"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7"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8"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7"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7"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7"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7"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7"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7"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7"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7"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7"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7"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7"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7"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7"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7"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7"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7"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7"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7"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7"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7"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7"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7"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7"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7"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7"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7"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7" t="s">
        <v>2117</v>
      </c>
      <c r="G305" s="341"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7" t="s">
        <v>2122</v>
      </c>
      <c r="G306" s="341"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7" t="s">
        <v>2127</v>
      </c>
      <c r="G307" s="341"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7" t="s">
        <v>2132</v>
      </c>
      <c r="G308" s="341"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7" t="s">
        <v>14627</v>
      </c>
      <c r="G309" s="341"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7" t="s">
        <v>14627</v>
      </c>
      <c r="G310" s="341"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7" t="s">
        <v>14627</v>
      </c>
      <c r="G311" s="341"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7" t="s">
        <v>14627</v>
      </c>
      <c r="G312" s="341"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7"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7" t="s">
        <v>14629</v>
      </c>
      <c r="G314" s="291" t="s">
        <v>563</v>
      </c>
      <c r="H314" s="288" t="s">
        <v>390</v>
      </c>
      <c r="I314" s="288" t="s">
        <v>260</v>
      </c>
      <c r="J314" s="245" t="s">
        <v>1163</v>
      </c>
      <c r="K314" s="282" t="s">
        <v>118</v>
      </c>
      <c r="L314" s="316" t="s">
        <v>74</v>
      </c>
      <c r="M314" s="245" t="s">
        <v>15096</v>
      </c>
    </row>
    <row r="315" spans="1:13" ht="28.5">
      <c r="A315" s="288" t="str">
        <f>B315&amp;C315</f>
        <v>Product ListC5</v>
      </c>
      <c r="B315" s="288" t="s">
        <v>1300</v>
      </c>
      <c r="C315" s="288" t="s">
        <v>972</v>
      </c>
      <c r="D315" s="245" t="s">
        <v>504</v>
      </c>
      <c r="E315" s="254" t="s">
        <v>13644</v>
      </c>
      <c r="F315" s="337" t="s">
        <v>14630</v>
      </c>
      <c r="G315" s="291" t="s">
        <v>564</v>
      </c>
      <c r="H315" s="288" t="s">
        <v>391</v>
      </c>
      <c r="I315" s="288" t="s">
        <v>261</v>
      </c>
      <c r="J315" s="245" t="s">
        <v>939</v>
      </c>
      <c r="K315" s="282" t="s">
        <v>119</v>
      </c>
      <c r="L315" s="316" t="s">
        <v>75</v>
      </c>
      <c r="M315" s="245" t="s">
        <v>15097</v>
      </c>
    </row>
    <row r="316" spans="1:13" ht="28.5">
      <c r="A316" s="288" t="str">
        <f>B316&amp;C316</f>
        <v>Product ListD5</v>
      </c>
      <c r="B316" s="288" t="s">
        <v>1300</v>
      </c>
      <c r="C316" s="288" t="s">
        <v>1301</v>
      </c>
      <c r="D316" s="245" t="s">
        <v>835</v>
      </c>
      <c r="E316" s="283" t="s">
        <v>863</v>
      </c>
      <c r="F316" s="337"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7"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2"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2"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2"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2" t="s">
        <v>297</v>
      </c>
      <c r="H324" s="288" t="s">
        <v>134</v>
      </c>
      <c r="I324" s="288" t="s">
        <v>265</v>
      </c>
      <c r="J324" s="288" t="s">
        <v>1358</v>
      </c>
      <c r="K324" s="291" t="s">
        <v>128</v>
      </c>
      <c r="L324" s="317" t="s">
        <v>309</v>
      </c>
      <c r="M324" s="288" t="s">
        <v>15102</v>
      </c>
    </row>
    <row r="325" spans="1:13" ht="42.75">
      <c r="A325" s="288" t="s">
        <v>835</v>
      </c>
      <c r="D325" s="288" t="s">
        <v>298</v>
      </c>
      <c r="E325" s="254" t="s">
        <v>13648</v>
      </c>
      <c r="F325" s="288" t="s">
        <v>316</v>
      </c>
      <c r="G325" s="352" t="s">
        <v>299</v>
      </c>
      <c r="H325" s="288" t="s">
        <v>135</v>
      </c>
      <c r="I325" s="288" t="s">
        <v>266</v>
      </c>
      <c r="J325" s="288" t="s">
        <v>1359</v>
      </c>
      <c r="K325" s="291" t="s">
        <v>126</v>
      </c>
      <c r="L325" s="317" t="s">
        <v>300</v>
      </c>
      <c r="M325" s="288" t="s">
        <v>15103</v>
      </c>
    </row>
    <row r="326" spans="1:13" ht="85.5">
      <c r="A326" s="288" t="s">
        <v>835</v>
      </c>
      <c r="D326" s="288" t="s">
        <v>301</v>
      </c>
      <c r="E326" s="254" t="s">
        <v>13649</v>
      </c>
      <c r="F326" s="325" t="s">
        <v>15280</v>
      </c>
      <c r="G326" s="352"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term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060324a1-f66f-4c36-a8ec-beadbf2f4219"/>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Deena Plank</cp:lastModifiedBy>
  <cp:lastPrinted>2015-04-21T20:47:43Z</cp:lastPrinted>
  <dcterms:created xsi:type="dcterms:W3CDTF">2010-06-21T21:00:23Z</dcterms:created>
  <dcterms:modified xsi:type="dcterms:W3CDTF">2022-03-29T20:44:02Z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